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DEDOCS\LICITAÇÃO 2024\10-OUTUBRO\16.10 DNOCS-CE MOTORISTA\DILIGÊNCIA\"/>
    </mc:Choice>
  </mc:AlternateContent>
  <xr:revisionPtr revIDLastSave="0" documentId="13_ncr:1_{666D0D68-5FE9-40C0-94B8-63BCD9142765}" xr6:coauthVersionLast="47" xr6:coauthVersionMax="47" xr10:uidLastSave="{00000000-0000-0000-0000-000000000000}"/>
  <workbookProtection workbookAlgorithmName="SHA-512" workbookHashValue="xfFxfXXj/vDdMZnokJWUoG1Coqiuv6aJNTTQBbqskojje7taXQwtTquEevJ1Dqz3vkoyWBo1JquVB6IPR+EU7g==" workbookSaltValue="X7bGQmMfnG+vh+OckfRfFQ==" workbookSpinCount="100000" lockStructure="1"/>
  <bookViews>
    <workbookView xWindow="-120" yWindow="-120" windowWidth="29040" windowHeight="15720" xr2:uid="{0719E828-B013-4CC7-A825-9B47B0A6C66C}"/>
  </bookViews>
  <sheets>
    <sheet name="RESUMO" sheetId="10" r:id="rId1"/>
    <sheet name="motorista 44h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C76" i="1"/>
  <c r="D81" i="1"/>
  <c r="C81" i="1"/>
  <c r="D79" i="1"/>
  <c r="C79" i="1"/>
  <c r="N79" i="1"/>
  <c r="D55" i="1"/>
  <c r="C80" i="1"/>
  <c r="D44" i="1" l="1"/>
  <c r="D43" i="1"/>
  <c r="D42" i="1"/>
  <c r="D41" i="1"/>
  <c r="D40" i="1"/>
  <c r="D39" i="1"/>
  <c r="D38" i="1"/>
  <c r="D37" i="1"/>
  <c r="D51" i="1"/>
  <c r="D16" i="1"/>
  <c r="I8" i="10" l="1"/>
  <c r="I7" i="10"/>
  <c r="C39" i="1"/>
  <c r="D57" i="1"/>
  <c r="D20" i="1" l="1"/>
  <c r="D52" i="1"/>
  <c r="C77" i="1" l="1"/>
  <c r="C32" i="1"/>
  <c r="C33" i="1" s="1"/>
  <c r="C152" i="1"/>
  <c r="C148" i="1" l="1"/>
  <c r="D148" i="1" s="1"/>
  <c r="C149" i="1"/>
  <c r="D149" i="1" s="1"/>
  <c r="C147" i="1"/>
  <c r="D152" i="1"/>
  <c r="C150" i="1" l="1"/>
  <c r="D147" i="1"/>
  <c r="D150" i="1" s="1"/>
  <c r="C119" i="1"/>
  <c r="C110" i="1"/>
  <c r="C109" i="1"/>
  <c r="D112" i="1"/>
  <c r="D135" i="1" s="1"/>
  <c r="C108" i="1"/>
  <c r="D98" i="1"/>
  <c r="D103" i="1" s="1"/>
  <c r="C97" i="1"/>
  <c r="D71" i="1"/>
  <c r="D64" i="1"/>
  <c r="C63" i="1"/>
  <c r="C45" i="1"/>
  <c r="D26" i="1"/>
  <c r="C151" i="1" l="1"/>
  <c r="D151" i="1" s="1"/>
  <c r="D153" i="1" s="1"/>
  <c r="D156" i="1" s="1"/>
  <c r="D78" i="1"/>
  <c r="D131" i="1"/>
  <c r="D76" i="1"/>
  <c r="D77" i="1"/>
  <c r="D87" i="1"/>
  <c r="D92" i="1"/>
  <c r="C93" i="1"/>
  <c r="C102" i="1" s="1"/>
  <c r="D58" i="1"/>
  <c r="D70" i="1" s="1"/>
  <c r="D80" i="1"/>
  <c r="D90" i="1"/>
  <c r="D31" i="1"/>
  <c r="D89" i="1"/>
  <c r="D32" i="1"/>
  <c r="D91" i="1"/>
  <c r="D88" i="1"/>
  <c r="D33" i="1" l="1"/>
  <c r="C153" i="1"/>
  <c r="C82" i="1"/>
  <c r="D93" i="1"/>
  <c r="D102" i="1" s="1"/>
  <c r="D45" i="1"/>
  <c r="D69" i="1" s="1"/>
  <c r="D104" i="1" l="1"/>
  <c r="D68" i="1"/>
  <c r="D72" i="1" l="1"/>
  <c r="C71" i="1" s="1"/>
  <c r="D82" i="1"/>
  <c r="D133" i="1" s="1"/>
  <c r="D134" i="1"/>
  <c r="C103" i="1"/>
  <c r="C104" i="1" s="1"/>
  <c r="C68" i="1" l="1"/>
  <c r="C70" i="1"/>
  <c r="D132" i="1"/>
  <c r="D136" i="1" s="1"/>
  <c r="D117" i="1" s="1"/>
  <c r="C69" i="1"/>
  <c r="C72" i="1" l="1"/>
  <c r="D118" i="1"/>
  <c r="D123" i="1" s="1"/>
  <c r="D121" i="1" l="1"/>
  <c r="D122" i="1"/>
  <c r="D120" i="1"/>
  <c r="D124" i="1" l="1"/>
  <c r="D137" i="1" s="1"/>
  <c r="D138" i="1" s="1"/>
  <c r="H5" i="10" s="1"/>
  <c r="I5" i="10" s="1"/>
  <c r="J5" i="10" s="1"/>
  <c r="J9" i="10" l="1"/>
  <c r="D155" i="1"/>
  <c r="D157" i="1" s="1"/>
  <c r="K5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Dayvidson Ribeiro de Oliveira</author>
  </authors>
  <commentList>
    <comment ref="A85" authorId="0" shapeId="0" xr:uid="{AB89B296-827B-4BD7-87E4-3B38DB43D1C3}">
      <text>
        <r>
          <rPr>
            <sz val="9"/>
            <color indexed="81"/>
            <rFont val="Segoe UI"/>
            <family val="2"/>
          </rPr>
          <t>Foi considerado o programa Empresa Cidadã para a duração da licença paternidade e maternidade</t>
        </r>
      </text>
    </comment>
    <comment ref="C97" authorId="0" shapeId="0" xr:uid="{F5C36DD3-871C-468C-BDC1-7EC3CD7D6896}">
      <text>
        <r>
          <rPr>
            <sz val="9"/>
            <color indexed="81"/>
            <rFont val="Segoe UI"/>
            <family val="2"/>
          </rPr>
          <t xml:space="preserve">Percentual </t>
        </r>
        <r>
          <rPr>
            <b/>
            <sz val="9"/>
            <color indexed="81"/>
            <rFont val="Segoe UI"/>
            <family val="2"/>
          </rPr>
          <t>=</t>
        </r>
        <r>
          <rPr>
            <sz val="9"/>
            <color indexed="81"/>
            <rFont val="Segoe UI"/>
            <family val="2"/>
          </rPr>
          <t xml:space="preserve"> (1 hora de intervalo </t>
        </r>
        <r>
          <rPr>
            <b/>
            <sz val="9"/>
            <color indexed="81"/>
            <rFont val="Segoe UI"/>
            <family val="2"/>
          </rPr>
          <t>x</t>
        </r>
        <r>
          <rPr>
            <sz val="9"/>
            <color indexed="81"/>
            <rFont val="Segoe UI"/>
            <family val="2"/>
          </rPr>
          <t xml:space="preserve"> dias trabalhados no mês) </t>
        </r>
        <r>
          <rPr>
            <b/>
            <sz val="9"/>
            <color indexed="81"/>
            <rFont val="Segoe UI"/>
            <family val="2"/>
          </rPr>
          <t>/</t>
        </r>
        <r>
          <rPr>
            <sz val="9"/>
            <color indexed="81"/>
            <rFont val="Segoe UI"/>
            <family val="2"/>
          </rPr>
          <t xml:space="preserve"> horas trabalhadas no mês </t>
        </r>
        <r>
          <rPr>
            <b/>
            <sz val="9"/>
            <color indexed="81"/>
            <rFont val="Segoe UI"/>
            <family val="2"/>
          </rPr>
          <t>x</t>
        </r>
        <r>
          <rPr>
            <sz val="9"/>
            <color indexed="81"/>
            <rFont val="Segoe UI"/>
            <family val="2"/>
          </rPr>
          <t xml:space="preserve"> 100</t>
        </r>
      </text>
    </comment>
    <comment ref="D97" authorId="0" shapeId="0" xr:uid="{CE38D6D4-C75A-41AC-98DC-4A3824A054A8}">
      <text>
        <r>
          <rPr>
            <sz val="9"/>
            <color indexed="81"/>
            <rFont val="Segoe UI"/>
            <family val="2"/>
          </rPr>
          <t xml:space="preserve">(Salário base </t>
        </r>
        <r>
          <rPr>
            <b/>
            <sz val="9"/>
            <color indexed="81"/>
            <rFont val="Segoe UI"/>
            <family val="2"/>
          </rPr>
          <t>+</t>
        </r>
        <r>
          <rPr>
            <sz val="9"/>
            <color indexed="81"/>
            <rFont val="Segoe UI"/>
            <family val="2"/>
          </rPr>
          <t xml:space="preserve"> periculosidade) </t>
        </r>
        <r>
          <rPr>
            <b/>
            <sz val="9"/>
            <color indexed="81"/>
            <rFont val="Segoe UI"/>
            <family val="2"/>
          </rPr>
          <t>x</t>
        </r>
        <r>
          <rPr>
            <sz val="9"/>
            <color indexed="81"/>
            <rFont val="Segoe UI"/>
            <family val="2"/>
          </rPr>
          <t xml:space="preserve"> percentual</t>
        </r>
      </text>
    </comment>
    <comment ref="A106" authorId="0" shapeId="0" xr:uid="{F3FB140D-E01F-409B-8B8D-780FA6EC4764}">
      <text>
        <r>
          <rPr>
            <sz val="9"/>
            <color indexed="81"/>
            <rFont val="Segoe UI"/>
            <family val="2"/>
          </rPr>
          <t>Os itens do módulo 5 estão detalhados na planilha "insumos"</t>
        </r>
      </text>
    </comment>
  </commentList>
</comments>
</file>

<file path=xl/sharedStrings.xml><?xml version="1.0" encoding="utf-8"?>
<sst xmlns="http://schemas.openxmlformats.org/spreadsheetml/2006/main" count="248" uniqueCount="153">
  <si>
    <t>PLANILHA DE CUSTO E FORMAÇÃO DE PREÇO - IN 05/2017 (atualizada pela IN 07/2018)</t>
  </si>
  <si>
    <t>A</t>
  </si>
  <si>
    <t>B</t>
  </si>
  <si>
    <t>C</t>
  </si>
  <si>
    <t>D</t>
  </si>
  <si>
    <t>Identificação do Serviço</t>
  </si>
  <si>
    <t>Tipo de Serviço</t>
  </si>
  <si>
    <t>Unidade de Medida</t>
  </si>
  <si>
    <t>Posto</t>
  </si>
  <si>
    <t>Qtde total a contratar (em função da unidade de medida)</t>
  </si>
  <si>
    <t>MÓDULOS DE MÃO DE OBRA VINCULADA À EXECUÇÃO CONTRATUAL</t>
  </si>
  <si>
    <t>Dados para composição dos custos referentes à mão-de-obra</t>
  </si>
  <si>
    <t>Tipo de serviço (mesmo serviço com características distintas)</t>
  </si>
  <si>
    <t>Mão de obra</t>
  </si>
  <si>
    <t>Classificação Brasileira de Ocupações (CBO)</t>
  </si>
  <si>
    <t>Salário Nominativo da Categoria Profissional</t>
  </si>
  <si>
    <t>Categoria profissional (vinculada à execução contratual)</t>
  </si>
  <si>
    <t>MÓDULO 1 - COMPOSIÇÃO DA REMUNERAÇÃO</t>
  </si>
  <si>
    <t>Módulo 1 - Composição da Remuneração</t>
  </si>
  <si>
    <t>%</t>
  </si>
  <si>
    <t>Valor (R$)</t>
  </si>
  <si>
    <t>Salário Base</t>
  </si>
  <si>
    <t xml:space="preserve">Adicional de Periculosidade </t>
  </si>
  <si>
    <t xml:space="preserve">Adicional de Insalubridade </t>
  </si>
  <si>
    <t xml:space="preserve">Adicional Noturno </t>
  </si>
  <si>
    <t>E</t>
  </si>
  <si>
    <t xml:space="preserve">Adicional de Hora Noturna Reduzida </t>
  </si>
  <si>
    <t>F</t>
  </si>
  <si>
    <t>Outros (especificar)</t>
  </si>
  <si>
    <t>Total da Remuneração</t>
  </si>
  <si>
    <t>Nota 1: O Módulo 1 refere-se ao valor mensal devido ao empregado pela prestação do serviço no período de 12 meses.</t>
  </si>
  <si>
    <t>MÓDULO 2: ENCARGOS E BENEFÍCIOS ANUAIS, MENSAIS E DIÁRIOS</t>
  </si>
  <si>
    <t>2.1</t>
  </si>
  <si>
    <t>13º Salário, Férias e Adicional de Férias</t>
  </si>
  <si>
    <r>
      <rPr>
        <sz val="11"/>
        <color theme="1"/>
        <rFont val="Calibri"/>
        <family val="2"/>
      </rPr>
      <t>13 (Décimo-terceiro) salário</t>
    </r>
    <r>
      <rPr>
        <sz val="11"/>
        <color rgb="FFFF0000"/>
        <rFont val="Calibri"/>
        <family val="2"/>
      </rPr>
      <t xml:space="preserve"> </t>
    </r>
  </si>
  <si>
    <t>Férias e Adicional de Férias</t>
  </si>
  <si>
    <t>Subtotal</t>
  </si>
  <si>
    <t>Total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</si>
  <si>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(Incluído pela Instrução Normativa nº 7, de 2018)</t>
  </si>
  <si>
    <t>2.2</t>
  </si>
  <si>
    <t>Encargos Previdenciário (GPS), Fundo de garantia por tempo de Serviço ( FGTS) e outras Contribuições</t>
  </si>
  <si>
    <t xml:space="preserve">INSS </t>
  </si>
  <si>
    <t xml:space="preserve">Salário Educação </t>
  </si>
  <si>
    <t>GILL/RAT - (RATx FAP)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</si>
  <si>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</si>
  <si>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</si>
  <si>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</si>
  <si>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</si>
  <si>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</si>
  <si>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</si>
  <si>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</si>
  <si>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Nota 1: Os percentuais dos encargos previdenciaários,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</si>
  <si>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</si>
  <si>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</si>
  <si>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2.3</t>
  </si>
  <si>
    <t>Benefícios Mensais e Diários</t>
  </si>
  <si>
    <t>R$</t>
  </si>
  <si>
    <t xml:space="preserve">Transporte </t>
  </si>
  <si>
    <t xml:space="preserve">Auxílio-Refeição/Alimentação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</si>
  <si>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</si>
  <si>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
art. 6º desta Instrução Normativa.</t>
  </si>
  <si>
    <t>2.4</t>
  </si>
  <si>
    <t>Intrajornada Indenizada</t>
  </si>
  <si>
    <t>Pagamento de 50% de jornada indenizada</t>
  </si>
  <si>
    <t>QUADRO RESUMO MÓDULO 2</t>
  </si>
  <si>
    <t>Módulo 2 - Encargos, Benefícios Anuais, Mensais e Diários</t>
  </si>
  <si>
    <t>GPS, FGTS e Outras Contribuições</t>
  </si>
  <si>
    <t>TOTAL</t>
  </si>
  <si>
    <t>MÓDULO 3 - PROVISÃO PARA RESCISÃO</t>
  </si>
  <si>
    <t xml:space="preserve"> Módulo 3 - Provisão para rescisão</t>
  </si>
  <si>
    <t>Aviso Prévio Indenizado</t>
  </si>
  <si>
    <t>Incidência do FGTS sobre Aviso Prévio Indenizado</t>
  </si>
  <si>
    <r>
      <rPr>
        <sz val="11"/>
        <color theme="1"/>
        <rFont val="Calibri"/>
        <family val="2"/>
      </rPr>
      <t xml:space="preserve">Multa do FGTS </t>
    </r>
    <r>
      <rPr>
        <strike/>
        <sz val="11"/>
        <color theme="1"/>
        <rFont val="Calibri"/>
        <family val="2"/>
      </rPr>
      <t>(e contribuições sociais)</t>
    </r>
    <r>
      <rPr>
        <sz val="11"/>
        <color theme="1"/>
        <rFont val="Calibri"/>
        <family val="2"/>
      </rPr>
      <t xml:space="preserve"> sobre o Aviso Prévio Indenizado</t>
    </r>
  </si>
  <si>
    <r>
      <rPr>
        <sz val="11"/>
        <color theme="1"/>
        <rFont val="Calibri"/>
        <family val="2"/>
      </rPr>
      <t>Multa do FGTS</t>
    </r>
    <r>
      <rPr>
        <strike/>
        <sz val="11"/>
        <color theme="1"/>
        <rFont val="Calibri"/>
        <family val="2"/>
      </rPr>
      <t xml:space="preserve"> (e contribuições sociais)</t>
    </r>
    <r>
      <rPr>
        <sz val="11"/>
        <color theme="1"/>
        <rFont val="Calibri"/>
        <family val="2"/>
      </rPr>
      <t xml:space="preserve"> sobre o Aviso Prévio Trabalhado</t>
    </r>
  </si>
  <si>
    <t>OBS.: A contribuição social foi extinta pela Lei 13.932/2019.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</si>
  <si>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</si>
  <si>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</si>
  <si>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</si>
  <si>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</si>
  <si>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</si>
  <si>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</si>
  <si>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</si>
  <si>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Afastamento Maternidade</t>
  </si>
  <si>
    <t>Substituto na cobertura de Outras ausências (especificar)</t>
  </si>
  <si>
    <r>
      <t xml:space="preserve">Nota 1: Os itens que contemplam o módulo 4 se referem ao custo dos dias trabalhados pelo repositor/substituto, quando o empregado
alocado na prestação de serviço estiver ausente, conforme as previsões estabelecidas na legislação. </t>
    </r>
    <r>
      <rPr>
        <sz val="8"/>
        <color rgb="FFFF0000"/>
        <rFont val="Calibri"/>
        <family val="2"/>
      </rPr>
      <t>Redação dada pela Instrução
Normativa nº 7, de 2018.</t>
    </r>
  </si>
  <si>
    <t>4.2</t>
  </si>
  <si>
    <t>Substituto na Intrajornada</t>
  </si>
  <si>
    <t>Substituto na cobertura de Intervalo para repouso ou alimentação</t>
  </si>
  <si>
    <t>QUADRO RESUMO MÓDULO 4</t>
  </si>
  <si>
    <t>Módulo 4 - Custo de Reposição do Profissional Ausente</t>
  </si>
  <si>
    <t>MÓDULO 5 - INSUMOS DIVERSOS</t>
  </si>
  <si>
    <t>Módulo 5 - Insumos diversos</t>
  </si>
  <si>
    <t>Valor Anual</t>
  </si>
  <si>
    <t>Valor Mensal</t>
  </si>
  <si>
    <t>Materiais</t>
  </si>
  <si>
    <t xml:space="preserve">Equipamentos </t>
  </si>
  <si>
    <t>Nota: Valores mensais por empregado.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</si>
  <si>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</si>
  <si>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</si>
  <si>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</si>
  <si>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</si>
  <si>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</si>
  <si>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</si>
  <si>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 (PIS)</t>
  </si>
  <si>
    <t>C.2</t>
  </si>
  <si>
    <t>Tributos Federais (COFINS)</t>
  </si>
  <si>
    <t>C.3</t>
  </si>
  <si>
    <t>Tributos Estaduais (FUNDO EMPREENDER)</t>
  </si>
  <si>
    <t>C.4</t>
  </si>
  <si>
    <t>Tributos Municipais (ISS)</t>
  </si>
  <si>
    <t>Nota 1: Custos Indiretos, Tributos e Lucro por empregado.</t>
  </si>
  <si>
    <t>Nota 2: O valor referente a tributos é obtido aplicando-se o percentual sobre o valor do faturamento.</t>
  </si>
  <si>
    <t>QUADRO RESUMO DO CUSTO POR EMPREGADO</t>
  </si>
  <si>
    <t>Mão-de-Obra vinculada à execução contratual - Custos Diretos (valor por empregado)</t>
  </si>
  <si>
    <t>Módulo 3 - Provisão para rescisão</t>
  </si>
  <si>
    <t>Subtotal (A + B + C + D + E) - Total dos Custos Diretos</t>
  </si>
  <si>
    <t>Módulo 6 - Custos Indiretos, tributos e lucro</t>
  </si>
  <si>
    <t>VALOR TOTAL POR EMPREGADO</t>
  </si>
  <si>
    <t>Auxílio Saúde</t>
  </si>
  <si>
    <t>Programa de Qualificação e Marketing</t>
  </si>
  <si>
    <t>ITEM</t>
  </si>
  <si>
    <t>DESCRIÇÃO</t>
  </si>
  <si>
    <t>$</t>
  </si>
  <si>
    <t>Valor Total Devido por Posto</t>
  </si>
  <si>
    <t>Valor Retido a Conta Vinculada</t>
  </si>
  <si>
    <t>Valor Líquido à Empresa</t>
  </si>
  <si>
    <t>Assistência Odontológica</t>
  </si>
  <si>
    <t>Auxílio doença/invalidez</t>
  </si>
  <si>
    <t>Aviso Prévio Trabalhado ( IN 05/2017 - percentual maximo de até 1,94%)</t>
  </si>
  <si>
    <t>Incidência dos encargos do submódulo 2.2 sobre Aviso Prévio Trabalhado</t>
  </si>
  <si>
    <t>CONTA VINCULADA</t>
  </si>
  <si>
    <t>Uniformes</t>
  </si>
  <si>
    <t>Serviço de motorista de veículo, categoria B, com regime de dedicação exclusiva de mão de obra (Jornada 40hs semanais) – CBO 7823-05 – CATSER 15008</t>
  </si>
  <si>
    <t>UND</t>
  </si>
  <si>
    <t>CUSTO VARIÁVEL</t>
  </si>
  <si>
    <t>Motorista “B" - Diária (Mensal) (CCT)</t>
  </si>
  <si>
    <t>Diárias, sem a necessidade de pernoite</t>
  </si>
  <si>
    <t>DIA</t>
  </si>
  <si>
    <t>-</t>
  </si>
  <si>
    <t>Valor Máximo para Contratação {Custo Fixo + Custo Variável} (12 meses)</t>
  </si>
  <si>
    <t>ESPECIFICAÇÃO</t>
  </si>
  <si>
    <t>CATSERV</t>
  </si>
  <si>
    <t>UNIDADE DE MEDIDA</t>
  </si>
  <si>
    <t>QUANT.</t>
  </si>
  <si>
    <t>VALOR MENSAL $</t>
  </si>
  <si>
    <t>VALOR ANUAL $</t>
  </si>
  <si>
    <t>VALOR UNITÁRIO $</t>
  </si>
  <si>
    <t>Motorista de Veículos - Categoria B</t>
  </si>
  <si>
    <t>7823-05</t>
  </si>
  <si>
    <t>Cesta Básica</t>
  </si>
  <si>
    <t>VALOR 
TATOTAL 
DA 
CONTRATAÇÃO $</t>
  </si>
  <si>
    <t>CÁLCULO PARA 60 MESES, PRAZO DE DURAÇÃO CONTRATUAL</t>
  </si>
  <si>
    <t>(Quatro Milhões e Noventa e Cinco, Quinhentos e Trinta e Um Reais e Oitenta e Três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</si>
</sst>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_-&quot;R$&quot;\ * #,##0.00_-;\-&quot;R$&quot;\ * #,##0.00_-;_-&quot;R$&quot;\ * &quot;-&quot;??_-;_-@"/>
    <numFmt numFmtId="167" formatCode="_-&quot;R$&quot;* #,##0.00_-;&quot;-R$&quot;* #,##0.00_-;_-&quot;R$&quot;* \-??_-;_-@_-"/>
    <numFmt numFmtId="168" formatCode="0.000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name val="Cambria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0"/>
      <color theme="1"/>
      <name val="Calibri"/>
      <family val="2"/>
    </font>
    <font>
      <sz val="11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</font>
    <font>
      <strike/>
      <sz val="11"/>
      <color theme="1"/>
      <name val="Calibri"/>
      <family val="2"/>
    </font>
    <font>
      <sz val="8"/>
      <color rgb="FFFF000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rgb="FF333333"/>
      <name val="Rawline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rgb="FFB4C6E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4" tint="0.39997558519241921"/>
        <bgColor theme="0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" fillId="11" borderId="3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4" fontId="17" fillId="0" borderId="0" xfId="0" applyNumberFormat="1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44" fontId="0" fillId="0" borderId="3" xfId="2" applyFont="1" applyBorder="1" applyAlignment="1" applyProtection="1">
      <alignment horizontal="center" vertical="center"/>
      <protection hidden="1"/>
    </xf>
    <xf numFmtId="44" fontId="0" fillId="0" borderId="0" xfId="2" applyFont="1" applyFill="1" applyBorder="1" applyAlignment="1" applyProtection="1">
      <alignment horizontal="center" vertical="center"/>
      <protection hidden="1"/>
    </xf>
    <xf numFmtId="44" fontId="0" fillId="0" borderId="0" xfId="0" applyNumberFormat="1" applyAlignment="1" applyProtection="1">
      <alignment horizontal="center"/>
      <protection hidden="1"/>
    </xf>
    <xf numFmtId="4" fontId="0" fillId="0" borderId="0" xfId="0" applyNumberFormat="1" applyProtection="1">
      <protection hidden="1"/>
    </xf>
    <xf numFmtId="43" fontId="0" fillId="0" borderId="0" xfId="3" applyFont="1" applyAlignment="1" applyProtection="1">
      <alignment horizontal="center"/>
      <protection hidden="1"/>
    </xf>
    <xf numFmtId="43" fontId="0" fillId="0" borderId="0" xfId="0" applyNumberFormat="1" applyAlignment="1" applyProtection="1">
      <alignment horizontal="center"/>
      <protection hidden="1"/>
    </xf>
    <xf numFmtId="10" fontId="2" fillId="0" borderId="0" xfId="1" applyNumberFormat="1" applyFont="1" applyFill="1" applyBorder="1" applyAlignment="1" applyProtection="1">
      <alignment horizontal="center" vertical="center"/>
      <protection hidden="1"/>
    </xf>
    <xf numFmtId="43" fontId="0" fillId="0" borderId="3" xfId="3" applyFont="1" applyBorder="1" applyAlignment="1" applyProtection="1">
      <alignment horizontal="center" vertical="center"/>
      <protection hidden="1"/>
    </xf>
    <xf numFmtId="43" fontId="0" fillId="0" borderId="0" xfId="3" applyFont="1" applyFill="1" applyBorder="1" applyAlignment="1" applyProtection="1">
      <alignment horizontal="center" vertical="center"/>
      <protection hidden="1"/>
    </xf>
    <xf numFmtId="44" fontId="2" fillId="0" borderId="3" xfId="2" applyFont="1" applyBorder="1" applyAlignment="1" applyProtection="1">
      <alignment horizontal="center" vertical="center"/>
      <protection hidden="1"/>
    </xf>
    <xf numFmtId="44" fontId="2" fillId="0" borderId="0" xfId="2" applyFont="1" applyFill="1" applyBorder="1" applyAlignment="1" applyProtection="1">
      <alignment horizontal="center" vertical="center"/>
      <protection hidden="1"/>
    </xf>
    <xf numFmtId="10" fontId="0" fillId="0" borderId="0" xfId="1" applyNumberFormat="1" applyFont="1" applyAlignment="1" applyProtection="1">
      <alignment horizontal="center"/>
      <protection hidden="1"/>
    </xf>
    <xf numFmtId="44" fontId="0" fillId="0" borderId="0" xfId="2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left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164" fontId="6" fillId="0" borderId="7" xfId="0" applyNumberFormat="1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5" fillId="5" borderId="7" xfId="0" applyFont="1" applyFill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left" vertical="center"/>
      <protection hidden="1"/>
    </xf>
    <xf numFmtId="0" fontId="5" fillId="6" borderId="7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left" vertical="center"/>
      <protection hidden="1"/>
    </xf>
    <xf numFmtId="0" fontId="6" fillId="7" borderId="7" xfId="0" applyFont="1" applyFill="1" applyBorder="1" applyAlignment="1" applyProtection="1">
      <alignment vertical="center"/>
      <protection hidden="1"/>
    </xf>
    <xf numFmtId="165" fontId="6" fillId="0" borderId="7" xfId="0" applyNumberFormat="1" applyFont="1" applyBorder="1" applyAlignment="1" applyProtection="1">
      <alignment vertical="center"/>
      <protection hidden="1"/>
    </xf>
    <xf numFmtId="0" fontId="6" fillId="0" borderId="7" xfId="0" applyFont="1" applyBorder="1" applyAlignment="1" applyProtection="1">
      <alignment horizontal="left" vertical="center" wrapText="1"/>
      <protection hidden="1"/>
    </xf>
    <xf numFmtId="9" fontId="6" fillId="7" borderId="7" xfId="0" applyNumberFormat="1" applyFont="1" applyFill="1" applyBorder="1" applyAlignment="1" applyProtection="1">
      <alignment horizontal="center" vertical="center"/>
      <protection hidden="1"/>
    </xf>
    <xf numFmtId="0" fontId="9" fillId="7" borderId="7" xfId="0" applyFont="1" applyFill="1" applyBorder="1" applyAlignment="1" applyProtection="1">
      <alignment horizontal="center" vertical="center"/>
      <protection hidden="1"/>
    </xf>
    <xf numFmtId="10" fontId="6" fillId="7" borderId="7" xfId="0" applyNumberFormat="1" applyFont="1" applyFill="1" applyBorder="1" applyAlignment="1" applyProtection="1">
      <alignment horizontal="center" vertical="center"/>
      <protection hidden="1"/>
    </xf>
    <xf numFmtId="165" fontId="5" fillId="5" borderId="7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vertical="center"/>
      <protection hidden="1"/>
    </xf>
    <xf numFmtId="0" fontId="5" fillId="5" borderId="4" xfId="0" applyFont="1" applyFill="1" applyBorder="1" applyAlignment="1" applyProtection="1">
      <alignment horizontal="center" vertical="center"/>
      <protection hidden="1"/>
    </xf>
    <xf numFmtId="0" fontId="5" fillId="5" borderId="4" xfId="0" applyFont="1" applyFill="1" applyBorder="1" applyAlignment="1" applyProtection="1">
      <alignment horizontal="left" vertical="center"/>
      <protection hidden="1"/>
    </xf>
    <xf numFmtId="0" fontId="5" fillId="6" borderId="4" xfId="0" applyFont="1" applyFill="1" applyBorder="1" applyAlignment="1" applyProtection="1">
      <alignment horizontal="center" vertical="center"/>
      <protection hidden="1"/>
    </xf>
    <xf numFmtId="10" fontId="6" fillId="6" borderId="7" xfId="0" applyNumberFormat="1" applyFont="1" applyFill="1" applyBorder="1" applyAlignment="1" applyProtection="1">
      <alignment horizontal="center" vertical="center"/>
      <protection hidden="1"/>
    </xf>
    <xf numFmtId="10" fontId="5" fillId="7" borderId="13" xfId="0" applyNumberFormat="1" applyFont="1" applyFill="1" applyBorder="1" applyAlignment="1" applyProtection="1">
      <alignment horizontal="center" vertical="center"/>
      <protection hidden="1"/>
    </xf>
    <xf numFmtId="165" fontId="5" fillId="7" borderId="13" xfId="0" applyNumberFormat="1" applyFont="1" applyFill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5" fillId="5" borderId="7" xfId="0" applyFont="1" applyFill="1" applyBorder="1" applyAlignment="1" applyProtection="1">
      <alignment vertical="center"/>
      <protection hidden="1"/>
    </xf>
    <xf numFmtId="0" fontId="5" fillId="5" borderId="7" xfId="0" applyFont="1" applyFill="1" applyBorder="1" applyAlignment="1" applyProtection="1">
      <alignment horizontal="left" vertical="center" wrapText="1"/>
      <protection hidden="1"/>
    </xf>
    <xf numFmtId="10" fontId="6" fillId="5" borderId="7" xfId="0" applyNumberFormat="1" applyFont="1" applyFill="1" applyBorder="1" applyAlignment="1" applyProtection="1">
      <alignment horizontal="center" vertical="center"/>
      <protection hidden="1"/>
    </xf>
    <xf numFmtId="44" fontId="6" fillId="0" borderId="7" xfId="0" applyNumberFormat="1" applyFont="1" applyBorder="1" applyAlignment="1" applyProtection="1">
      <alignment vertical="center"/>
      <protection hidden="1"/>
    </xf>
    <xf numFmtId="10" fontId="5" fillId="5" borderId="13" xfId="0" applyNumberFormat="1" applyFont="1" applyFill="1" applyBorder="1" applyAlignment="1" applyProtection="1">
      <alignment horizontal="center" vertical="center"/>
      <protection hidden="1"/>
    </xf>
    <xf numFmtId="165" fontId="5" fillId="5" borderId="13" xfId="0" applyNumberFormat="1" applyFont="1" applyFill="1" applyBorder="1" applyAlignment="1" applyProtection="1">
      <alignment vertical="center"/>
      <protection hidden="1"/>
    </xf>
    <xf numFmtId="10" fontId="5" fillId="5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vertical="center"/>
      <protection hidden="1"/>
    </xf>
    <xf numFmtId="44" fontId="6" fillId="0" borderId="7" xfId="0" applyNumberFormat="1" applyFont="1" applyBorder="1" applyAlignment="1" applyProtection="1">
      <alignment horizontal="center" vertical="center"/>
      <protection hidden="1"/>
    </xf>
    <xf numFmtId="44" fontId="0" fillId="0" borderId="0" xfId="0" applyNumberFormat="1" applyProtection="1">
      <protection hidden="1"/>
    </xf>
    <xf numFmtId="167" fontId="6" fillId="0" borderId="3" xfId="0" applyNumberFormat="1" applyFont="1" applyBorder="1" applyAlignment="1" applyProtection="1">
      <alignment horizontal="center"/>
      <protection hidden="1"/>
    </xf>
    <xf numFmtId="0" fontId="12" fillId="0" borderId="7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5" fillId="5" borderId="3" xfId="0" applyFont="1" applyFill="1" applyBorder="1" applyAlignment="1" applyProtection="1">
      <alignment vertical="center"/>
      <protection hidden="1"/>
    </xf>
    <xf numFmtId="0" fontId="5" fillId="5" borderId="3" xfId="0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10" fontId="6" fillId="0" borderId="3" xfId="1" applyNumberFormat="1" applyFont="1" applyBorder="1" applyAlignment="1" applyProtection="1">
      <alignment horizontal="center" vertical="center"/>
      <protection hidden="1"/>
    </xf>
    <xf numFmtId="165" fontId="6" fillId="0" borderId="3" xfId="0" applyNumberFormat="1" applyFont="1" applyBorder="1" applyAlignment="1" applyProtection="1">
      <alignment vertical="center"/>
      <protection hidden="1"/>
    </xf>
    <xf numFmtId="0" fontId="5" fillId="5" borderId="3" xfId="0" applyFont="1" applyFill="1" applyBorder="1" applyAlignment="1" applyProtection="1">
      <alignment horizontal="left" vertical="center"/>
      <protection hidden="1"/>
    </xf>
    <xf numFmtId="165" fontId="5" fillId="5" borderId="3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10" fontId="6" fillId="6" borderId="13" xfId="0" applyNumberFormat="1" applyFont="1" applyFill="1" applyBorder="1" applyAlignment="1" applyProtection="1">
      <alignment horizontal="center" vertical="center"/>
      <protection hidden="1"/>
    </xf>
    <xf numFmtId="10" fontId="9" fillId="5" borderId="3" xfId="0" applyNumberFormat="1" applyFont="1" applyFill="1" applyBorder="1" applyAlignment="1" applyProtection="1">
      <alignment horizontal="center" vertical="center"/>
      <protection hidden="1"/>
    </xf>
    <xf numFmtId="165" fontId="5" fillId="5" borderId="2" xfId="0" applyNumberFormat="1" applyFont="1" applyFill="1" applyBorder="1" applyAlignment="1" applyProtection="1">
      <alignment vertical="center"/>
      <protection hidden="1"/>
    </xf>
    <xf numFmtId="168" fontId="5" fillId="5" borderId="13" xfId="0" applyNumberFormat="1" applyFont="1" applyFill="1" applyBorder="1" applyAlignment="1" applyProtection="1">
      <alignment horizontal="center" vertical="center"/>
      <protection hidden="1"/>
    </xf>
    <xf numFmtId="168" fontId="5" fillId="5" borderId="7" xfId="0" applyNumberFormat="1" applyFont="1" applyFill="1" applyBorder="1" applyAlignment="1" applyProtection="1">
      <alignment horizontal="center" vertical="center"/>
      <protection hidden="1"/>
    </xf>
    <xf numFmtId="166" fontId="5" fillId="5" borderId="7" xfId="0" applyNumberFormat="1" applyFont="1" applyFill="1" applyBorder="1" applyAlignment="1" applyProtection="1">
      <alignment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10" fontId="6" fillId="5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7" xfId="0" applyNumberFormat="1" applyFont="1" applyBorder="1" applyAlignment="1" applyProtection="1">
      <alignment horizontal="center" vertical="center"/>
      <protection hidden="1"/>
    </xf>
    <xf numFmtId="10" fontId="6" fillId="5" borderId="13" xfId="0" applyNumberFormat="1" applyFont="1" applyFill="1" applyBorder="1" applyAlignment="1" applyProtection="1">
      <alignment horizontal="center" vertical="center"/>
      <protection hidden="1"/>
    </xf>
    <xf numFmtId="165" fontId="5" fillId="5" borderId="2" xfId="0" applyNumberFormat="1" applyFont="1" applyFill="1" applyBorder="1" applyAlignment="1" applyProtection="1">
      <alignment horizontal="center" vertical="center"/>
      <protection hidden="1"/>
    </xf>
    <xf numFmtId="0" fontId="5" fillId="8" borderId="7" xfId="0" applyFont="1" applyFill="1" applyBorder="1" applyAlignment="1" applyProtection="1">
      <alignment horizontal="center" vertical="center"/>
      <protection hidden="1"/>
    </xf>
    <xf numFmtId="43" fontId="0" fillId="0" borderId="0" xfId="0" applyNumberFormat="1" applyProtection="1">
      <protection hidden="1"/>
    </xf>
    <xf numFmtId="44" fontId="5" fillId="5" borderId="13" xfId="0" applyNumberFormat="1" applyFont="1" applyFill="1" applyBorder="1" applyAlignment="1" applyProtection="1">
      <alignment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2" fontId="6" fillId="0" borderId="7" xfId="0" applyNumberFormat="1" applyFont="1" applyBorder="1" applyAlignment="1" applyProtection="1">
      <alignment horizontal="center" vertical="center"/>
      <protection hidden="1"/>
    </xf>
    <xf numFmtId="165" fontId="5" fillId="10" borderId="7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0" fontId="0" fillId="0" borderId="3" xfId="0" applyBorder="1" applyProtection="1">
      <protection hidden="1"/>
    </xf>
    <xf numFmtId="168" fontId="0" fillId="0" borderId="3" xfId="0" applyNumberFormat="1" applyBorder="1" applyProtection="1">
      <protection hidden="1"/>
    </xf>
    <xf numFmtId="165" fontId="0" fillId="0" borderId="3" xfId="0" applyNumberFormat="1" applyBorder="1" applyProtection="1">
      <protection hidden="1"/>
    </xf>
    <xf numFmtId="10" fontId="0" fillId="0" borderId="0" xfId="0" applyNumberFormat="1" applyProtection="1">
      <protection hidden="1"/>
    </xf>
    <xf numFmtId="44" fontId="0" fillId="0" borderId="3" xfId="2" applyFont="1" applyBorder="1" applyProtection="1">
      <protection hidden="1"/>
    </xf>
    <xf numFmtId="10" fontId="6" fillId="7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3" xfId="0" applyNumberFormat="1" applyFont="1" applyBorder="1" applyAlignment="1" applyProtection="1">
      <alignment vertical="center"/>
      <protection hidden="1"/>
    </xf>
    <xf numFmtId="165" fontId="5" fillId="5" borderId="33" xfId="0" applyNumberFormat="1" applyFont="1" applyFill="1" applyBorder="1" applyAlignment="1" applyProtection="1">
      <alignment vertical="center"/>
      <protection hidden="1"/>
    </xf>
    <xf numFmtId="10" fontId="18" fillId="0" borderId="0" xfId="1" applyNumberFormat="1" applyFont="1" applyFill="1" applyBorder="1" applyAlignment="1">
      <alignment vertical="center"/>
    </xf>
    <xf numFmtId="10" fontId="6" fillId="0" borderId="7" xfId="0" applyNumberFormat="1" applyFont="1" applyBorder="1" applyAlignment="1" applyProtection="1">
      <alignment horizontal="center" vertical="center"/>
      <protection hidden="1"/>
    </xf>
    <xf numFmtId="44" fontId="6" fillId="12" borderId="7" xfId="0" applyNumberFormat="1" applyFont="1" applyFill="1" applyBorder="1" applyAlignment="1" applyProtection="1">
      <alignment horizontal="center" vertical="center"/>
      <protection hidden="1"/>
    </xf>
    <xf numFmtId="44" fontId="6" fillId="12" borderId="7" xfId="0" applyNumberFormat="1" applyFont="1" applyFill="1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vertical="center"/>
      <protection hidden="1"/>
    </xf>
    <xf numFmtId="0" fontId="5" fillId="5" borderId="1" xfId="0" applyFont="1" applyFill="1" applyBorder="1" applyAlignment="1" applyProtection="1">
      <alignment horizontal="left" vertical="center"/>
      <protection hidden="1"/>
    </xf>
    <xf numFmtId="0" fontId="7" fillId="5" borderId="10" xfId="0" applyFont="1" applyFill="1" applyBorder="1" applyAlignment="1" applyProtection="1">
      <alignment vertical="center"/>
      <protection hidden="1"/>
    </xf>
    <xf numFmtId="0" fontId="7" fillId="5" borderId="2" xfId="0" applyFont="1" applyFill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5" borderId="29" xfId="0" applyFont="1" applyFill="1" applyBorder="1" applyAlignment="1" applyProtection="1">
      <alignment horizontal="left" vertical="center"/>
      <protection hidden="1"/>
    </xf>
    <xf numFmtId="0" fontId="5" fillId="5" borderId="30" xfId="0" applyFont="1" applyFill="1" applyBorder="1" applyAlignment="1" applyProtection="1">
      <alignment horizontal="left" vertical="center"/>
      <protection hidden="1"/>
    </xf>
    <xf numFmtId="0" fontId="5" fillId="5" borderId="31" xfId="0" applyFont="1" applyFill="1" applyBorder="1" applyAlignment="1" applyProtection="1">
      <alignment horizontal="left" vertical="center"/>
      <protection hidden="1"/>
    </xf>
    <xf numFmtId="0" fontId="10" fillId="0" borderId="14" xfId="0" applyFont="1" applyBorder="1" applyAlignment="1" applyProtection="1">
      <alignment horizontal="left" vertical="center" wrapText="1"/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5" fillId="8" borderId="17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hidden="1"/>
    </xf>
    <xf numFmtId="0" fontId="5" fillId="5" borderId="11" xfId="0" applyFont="1" applyFill="1" applyBorder="1" applyAlignment="1" applyProtection="1">
      <alignment horizontal="left" vertical="center"/>
      <protection hidden="1"/>
    </xf>
    <xf numFmtId="0" fontId="7" fillId="5" borderId="12" xfId="0" applyFont="1" applyFill="1" applyBorder="1" applyAlignment="1" applyProtection="1">
      <alignment vertical="center"/>
      <protection hidden="1"/>
    </xf>
    <xf numFmtId="0" fontId="10" fillId="0" borderId="18" xfId="0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 applyProtection="1">
      <alignment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10" fillId="0" borderId="23" xfId="0" applyFont="1" applyBorder="1" applyAlignment="1" applyProtection="1">
      <alignment horizontal="left" vertical="center" wrapText="1"/>
      <protection hidden="1"/>
    </xf>
    <xf numFmtId="0" fontId="0" fillId="0" borderId="24" xfId="0" applyBorder="1" applyAlignment="1" applyProtection="1">
      <alignment vertical="center"/>
      <protection hidden="1"/>
    </xf>
    <xf numFmtId="0" fontId="0" fillId="0" borderId="25" xfId="0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vertical="center"/>
      <protection hidden="1"/>
    </xf>
    <xf numFmtId="0" fontId="5" fillId="8" borderId="28" xfId="0" applyFont="1" applyFill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vertical="center"/>
      <protection hidden="1"/>
    </xf>
    <xf numFmtId="0" fontId="5" fillId="5" borderId="3" xfId="0" applyFont="1" applyFill="1" applyBorder="1" applyAlignment="1" applyProtection="1">
      <alignment horizontal="left" vertical="center"/>
      <protection hidden="1"/>
    </xf>
    <xf numFmtId="0" fontId="5" fillId="8" borderId="32" xfId="0" applyFont="1" applyFill="1" applyBorder="1" applyAlignment="1" applyProtection="1">
      <alignment horizontal="center" vertical="center"/>
      <protection hidden="1"/>
    </xf>
    <xf numFmtId="0" fontId="7" fillId="0" borderId="26" xfId="0" applyFont="1" applyBorder="1" applyAlignment="1" applyProtection="1">
      <alignment vertical="center"/>
      <protection hidden="1"/>
    </xf>
    <xf numFmtId="0" fontId="5" fillId="3" borderId="0" xfId="0" applyFont="1" applyFill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5" fillId="5" borderId="10" xfId="0" applyFont="1" applyFill="1" applyBorder="1" applyAlignment="1" applyProtection="1">
      <alignment horizontal="left" vertical="center"/>
      <protection hidden="1"/>
    </xf>
    <xf numFmtId="0" fontId="5" fillId="9" borderId="3" xfId="0" applyFont="1" applyFill="1" applyBorder="1" applyAlignment="1" applyProtection="1">
      <alignment horizontal="center" vertical="center"/>
      <protection hidden="1"/>
    </xf>
    <xf numFmtId="0" fontId="5" fillId="5" borderId="8" xfId="0" applyFont="1" applyFill="1" applyBorder="1" applyAlignment="1" applyProtection="1">
      <alignment horizontal="left" vertical="center"/>
      <protection hidden="1"/>
    </xf>
    <xf numFmtId="0" fontId="5" fillId="5" borderId="9" xfId="0" applyFont="1" applyFill="1" applyBorder="1" applyAlignment="1" applyProtection="1">
      <alignment horizontal="left" vertical="center"/>
      <protection hidden="1"/>
    </xf>
    <xf numFmtId="0" fontId="10" fillId="0" borderId="18" xfId="0" applyFont="1" applyBorder="1" applyAlignment="1" applyProtection="1">
      <alignment horizontal="left" vertical="center"/>
      <protection hidden="1"/>
    </xf>
    <xf numFmtId="0" fontId="7" fillId="5" borderId="3" xfId="0" applyFont="1" applyFill="1" applyBorder="1" applyAlignment="1" applyProtection="1">
      <alignment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7" fillId="3" borderId="3" xfId="0" applyFont="1" applyFill="1" applyBorder="1" applyAlignment="1" applyProtection="1">
      <alignment vertical="center"/>
      <protection hidden="1"/>
    </xf>
    <xf numFmtId="0" fontId="10" fillId="0" borderId="14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10" fillId="0" borderId="21" xfId="0" applyFont="1" applyBorder="1" applyAlignment="1" applyProtection="1">
      <alignment horizontal="left" vertic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10" fillId="0" borderId="23" xfId="0" applyFont="1" applyBorder="1" applyAlignment="1" applyProtection="1">
      <alignment horizontal="left" vertical="center"/>
      <protection hidden="1"/>
    </xf>
    <xf numFmtId="0" fontId="5" fillId="8" borderId="5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5" fillId="7" borderId="29" xfId="0" applyFont="1" applyFill="1" applyBorder="1" applyAlignment="1" applyProtection="1">
      <alignment horizontal="left" vertical="center"/>
      <protection hidden="1"/>
    </xf>
    <xf numFmtId="0" fontId="5" fillId="7" borderId="31" xfId="0" applyFont="1" applyFill="1" applyBorder="1" applyAlignment="1" applyProtection="1">
      <alignment horizontal="left" vertical="center"/>
      <protection hidden="1"/>
    </xf>
    <xf numFmtId="0" fontId="10" fillId="0" borderId="15" xfId="0" applyFont="1" applyBorder="1" applyAlignment="1" applyProtection="1">
      <alignment horizontal="left" vertical="center"/>
      <protection hidden="1"/>
    </xf>
    <xf numFmtId="0" fontId="10" fillId="0" borderId="16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5" fillId="4" borderId="0" xfId="0" applyFont="1" applyFill="1" applyAlignment="1" applyProtection="1">
      <alignment horizontal="center" vertical="center"/>
      <protection hidden="1"/>
    </xf>
    <xf numFmtId="0" fontId="2" fillId="4" borderId="0" xfId="0" applyFont="1" applyFill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2" fillId="3" borderId="3" xfId="0" applyFont="1" applyFill="1" applyBorder="1" applyAlignment="1" applyProtection="1">
      <alignment vertical="center"/>
      <protection hidden="1"/>
    </xf>
    <xf numFmtId="0" fontId="7" fillId="5" borderId="27" xfId="0" applyFont="1" applyFill="1" applyBorder="1" applyAlignment="1" applyProtection="1">
      <alignment vertical="center"/>
      <protection hidden="1"/>
    </xf>
    <xf numFmtId="44" fontId="0" fillId="12" borderId="3" xfId="2" applyFont="1" applyFill="1" applyBorder="1" applyAlignment="1" applyProtection="1">
      <alignment horizontal="center" vertical="center"/>
      <protection hidden="1"/>
    </xf>
    <xf numFmtId="0" fontId="2" fillId="12" borderId="3" xfId="0" applyFont="1" applyFill="1" applyBorder="1" applyAlignment="1" applyProtection="1">
      <alignment horizontal="center" vertical="center" wrapText="1"/>
      <protection hidden="1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REDEDOCS\LICITA&#199;&#195;O%202024\9-SETEMBRO\06.09%20SEC.ADM%204&#186;%20MACRO-PB%20ASG%20PORTEIRO%20MERENDEIRO%20CADASTRADA\22.000.009433.2024%20-%20P1%20-%204&#170;%20M.xlsx" TargetMode="External"/><Relationship Id="rId1" Type="http://schemas.openxmlformats.org/officeDocument/2006/relationships/externalLinkPath" Target="/REDEDOCS/LICITA&#199;&#195;O%202024/9-SETEMBRO/06.09%20SEC.ADM%204&#186;%20MACRO-PB%20ASG%20PORTEIRO%20MERENDEIRO%20CADASTRADA/22.000.009433.2024%20-%20P1%20-%204&#170;%20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"/>
      <sheetName val="Aux Administrativo"/>
      <sheetName val="Aux Limpeza"/>
      <sheetName val="Aux Limpeza BP"/>
      <sheetName val="Cuidador"/>
      <sheetName val="Inspetor"/>
      <sheetName val="Merendeiro"/>
      <sheetName val="Porteiro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395.11099999999999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A87B4-4D58-4F98-A5C6-A66CE351ED60}">
  <sheetPr>
    <pageSetUpPr fitToPage="1"/>
  </sheetPr>
  <dimension ref="C4:R11"/>
  <sheetViews>
    <sheetView showGridLines="0" tabSelected="1" workbookViewId="0">
      <selection activeCell="K11" sqref="K11"/>
    </sheetView>
  </sheetViews>
  <sheetFormatPr defaultRowHeight="15"/>
  <cols>
    <col min="1" max="3" width="9.140625" style="4"/>
    <col min="4" max="4" width="50.140625" style="4" customWidth="1"/>
    <col min="5" max="7" width="9.140625" style="4"/>
    <col min="8" max="8" width="12.28515625" style="4" bestFit="1" customWidth="1"/>
    <col min="9" max="9" width="14.28515625" style="4" bestFit="1" customWidth="1"/>
    <col min="10" max="10" width="15.85546875" style="4" bestFit="1" customWidth="1"/>
    <col min="11" max="11" width="38" style="4" bestFit="1" customWidth="1"/>
    <col min="12" max="12" width="15.85546875" style="4" customWidth="1"/>
    <col min="13" max="14" width="15.85546875" style="4" bestFit="1" customWidth="1"/>
    <col min="15" max="15" width="14.28515625" style="4" bestFit="1" customWidth="1"/>
    <col min="16" max="16" width="10.140625" style="4" bestFit="1" customWidth="1"/>
    <col min="17" max="17" width="13.28515625" style="4" bestFit="1" customWidth="1"/>
    <col min="18" max="18" width="11.5703125" style="4" bestFit="1" customWidth="1"/>
    <col min="19" max="16384" width="9.140625" style="4"/>
  </cols>
  <sheetData>
    <row r="4" spans="3:18" ht="60">
      <c r="C4" s="1" t="s">
        <v>120</v>
      </c>
      <c r="D4" s="1" t="s">
        <v>140</v>
      </c>
      <c r="E4" s="1" t="s">
        <v>141</v>
      </c>
      <c r="F4" s="1" t="s">
        <v>142</v>
      </c>
      <c r="G4" s="1" t="s">
        <v>143</v>
      </c>
      <c r="H4" s="1" t="s">
        <v>146</v>
      </c>
      <c r="I4" s="1" t="s">
        <v>144</v>
      </c>
      <c r="J4" s="1" t="s">
        <v>145</v>
      </c>
      <c r="K4" s="1" t="s">
        <v>150</v>
      </c>
      <c r="L4" s="2"/>
      <c r="M4" s="3"/>
    </row>
    <row r="5" spans="3:18" ht="60">
      <c r="C5" s="5">
        <v>1</v>
      </c>
      <c r="D5" s="6" t="s">
        <v>132</v>
      </c>
      <c r="E5" s="5">
        <v>15008</v>
      </c>
      <c r="F5" s="5" t="s">
        <v>133</v>
      </c>
      <c r="G5" s="5">
        <v>10</v>
      </c>
      <c r="H5" s="7">
        <f>'motorista 44h'!D138</f>
        <v>5382.956380395668</v>
      </c>
      <c r="I5" s="7">
        <f>H5*G5</f>
        <v>53829.563803956684</v>
      </c>
      <c r="J5" s="7">
        <f>I5*12</f>
        <v>645954.76564748026</v>
      </c>
      <c r="K5" s="180">
        <f>J9*5</f>
        <v>4095531.8282374013</v>
      </c>
      <c r="L5" s="8"/>
      <c r="M5" s="9"/>
      <c r="N5" s="9"/>
      <c r="O5" s="9"/>
      <c r="P5" s="10"/>
      <c r="Q5" s="11"/>
      <c r="R5" s="12"/>
    </row>
    <row r="6" spans="3:18">
      <c r="C6" s="111" t="s">
        <v>134</v>
      </c>
      <c r="D6" s="111"/>
      <c r="E6" s="111"/>
      <c r="F6" s="111"/>
      <c r="G6" s="111"/>
      <c r="H6" s="111"/>
      <c r="I6" s="111"/>
      <c r="J6" s="111"/>
      <c r="K6" s="181" t="s">
        <v>152</v>
      </c>
      <c r="L6" s="13"/>
    </row>
    <row r="7" spans="3:18">
      <c r="C7" s="5">
        <v>2</v>
      </c>
      <c r="D7" s="6" t="s">
        <v>135</v>
      </c>
      <c r="E7" s="5">
        <v>21849</v>
      </c>
      <c r="F7" s="5" t="s">
        <v>137</v>
      </c>
      <c r="G7" s="5">
        <v>1200</v>
      </c>
      <c r="H7" s="7">
        <v>139.71</v>
      </c>
      <c r="I7" s="7">
        <f>H7*G7</f>
        <v>167652</v>
      </c>
      <c r="J7" s="14" t="s">
        <v>138</v>
      </c>
      <c r="K7" s="181"/>
      <c r="L7" s="15"/>
    </row>
    <row r="8" spans="3:18">
      <c r="C8" s="5">
        <v>3</v>
      </c>
      <c r="D8" s="6" t="s">
        <v>136</v>
      </c>
      <c r="E8" s="5">
        <v>21849</v>
      </c>
      <c r="F8" s="5" t="s">
        <v>137</v>
      </c>
      <c r="G8" s="5">
        <v>120</v>
      </c>
      <c r="H8" s="7">
        <v>45.83</v>
      </c>
      <c r="I8" s="7">
        <f>H8*G8</f>
        <v>5499.5999999999995</v>
      </c>
      <c r="J8" s="14" t="s">
        <v>138</v>
      </c>
      <c r="K8" s="181"/>
      <c r="L8" s="15"/>
    </row>
    <row r="9" spans="3:18">
      <c r="C9" s="111" t="s">
        <v>139</v>
      </c>
      <c r="D9" s="111"/>
      <c r="E9" s="111"/>
      <c r="F9" s="111"/>
      <c r="G9" s="111"/>
      <c r="H9" s="111"/>
      <c r="I9" s="111"/>
      <c r="J9" s="16">
        <f>J5+I8+I7</f>
        <v>819106.36564748024</v>
      </c>
      <c r="K9" s="181"/>
      <c r="L9" s="17"/>
      <c r="M9" s="18"/>
      <c r="N9" s="19"/>
    </row>
    <row r="11" spans="3:18">
      <c r="J11" s="9"/>
      <c r="K11" s="9"/>
      <c r="L11" s="9"/>
      <c r="M11" s="18"/>
      <c r="N11" s="9"/>
    </row>
  </sheetData>
  <mergeCells count="3">
    <mergeCell ref="C9:I9"/>
    <mergeCell ref="C6:J6"/>
    <mergeCell ref="K6:K9"/>
  </mergeCells>
  <pageMargins left="0.511811024" right="0.511811024" top="0.78740157499999996" bottom="0.78740157499999996" header="0.31496062000000002" footer="0.31496062000000002"/>
  <pageSetup paperSize="9" scale="57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C0CE4-47D1-494C-9322-075F06EC2D26}">
  <dimension ref="A1:N166"/>
  <sheetViews>
    <sheetView showGridLines="0" workbookViewId="0">
      <selection activeCell="A129" sqref="A129:D138"/>
    </sheetView>
  </sheetViews>
  <sheetFormatPr defaultRowHeight="15"/>
  <cols>
    <col min="1" max="1" width="3.7109375" style="20" bestFit="1" customWidth="1"/>
    <col min="2" max="2" width="65.85546875" style="20" bestFit="1" customWidth="1"/>
    <col min="3" max="3" width="11.140625" style="20" bestFit="1" customWidth="1"/>
    <col min="4" max="4" width="16.140625" style="20" bestFit="1" customWidth="1"/>
    <col min="5" max="5" width="36.28515625" style="20" customWidth="1"/>
    <col min="6" max="6" width="11.140625" style="20" bestFit="1" customWidth="1"/>
    <col min="7" max="16384" width="9.140625" style="20"/>
  </cols>
  <sheetData>
    <row r="1" spans="1:4">
      <c r="A1" s="112" t="s">
        <v>0</v>
      </c>
      <c r="B1" s="112"/>
      <c r="C1" s="112"/>
      <c r="D1" s="112"/>
    </row>
    <row r="2" spans="1:4">
      <c r="A2" s="168" t="s">
        <v>147</v>
      </c>
      <c r="B2" s="169"/>
      <c r="C2" s="169"/>
      <c r="D2" s="169"/>
    </row>
    <row r="3" spans="1:4">
      <c r="A3" s="21"/>
      <c r="B3" s="21"/>
      <c r="C3" s="21"/>
      <c r="D3" s="21"/>
    </row>
    <row r="4" spans="1:4">
      <c r="A4" s="22"/>
      <c r="B4" s="21"/>
      <c r="C4" s="22"/>
      <c r="D4" s="22"/>
    </row>
    <row r="5" spans="1:4">
      <c r="A5" s="138" t="s">
        <v>5</v>
      </c>
      <c r="B5" s="139"/>
      <c r="C5" s="139"/>
      <c r="D5" s="139"/>
    </row>
    <row r="6" spans="1:4" ht="36.75" customHeight="1">
      <c r="A6" s="23" t="s">
        <v>1</v>
      </c>
      <c r="B6" s="24" t="s">
        <v>6</v>
      </c>
      <c r="C6" s="166" t="s">
        <v>147</v>
      </c>
      <c r="D6" s="167"/>
    </row>
    <row r="7" spans="1:4">
      <c r="A7" s="25" t="s">
        <v>2</v>
      </c>
      <c r="B7" s="26" t="s">
        <v>7</v>
      </c>
      <c r="C7" s="170" t="s">
        <v>8</v>
      </c>
      <c r="D7" s="171"/>
    </row>
    <row r="8" spans="1:4">
      <c r="A8" s="27" t="s">
        <v>3</v>
      </c>
      <c r="B8" s="28" t="s">
        <v>9</v>
      </c>
      <c r="C8" s="170">
        <v>10</v>
      </c>
      <c r="D8" s="171"/>
    </row>
    <row r="9" spans="1:4">
      <c r="A9" s="22"/>
      <c r="B9" s="21"/>
      <c r="C9" s="22"/>
      <c r="D9" s="22"/>
    </row>
    <row r="10" spans="1:4">
      <c r="A10" s="172" t="s">
        <v>10</v>
      </c>
      <c r="B10" s="173"/>
      <c r="C10" s="173"/>
      <c r="D10" s="174"/>
    </row>
    <row r="11" spans="1:4">
      <c r="A11" s="22"/>
      <c r="B11" s="21"/>
      <c r="C11" s="22"/>
      <c r="D11" s="22"/>
    </row>
    <row r="12" spans="1:4">
      <c r="A12" s="138" t="s">
        <v>11</v>
      </c>
      <c r="B12" s="154"/>
      <c r="C12" s="154"/>
      <c r="D12" s="154"/>
    </row>
    <row r="13" spans="1:4">
      <c r="A13" s="29">
        <v>1</v>
      </c>
      <c r="B13" s="175" t="s">
        <v>12</v>
      </c>
      <c r="C13" s="176"/>
      <c r="D13" s="29" t="s">
        <v>13</v>
      </c>
    </row>
    <row r="14" spans="1:4">
      <c r="A14" s="30">
        <v>2</v>
      </c>
      <c r="B14" s="113" t="s">
        <v>14</v>
      </c>
      <c r="C14" s="114"/>
      <c r="D14" s="30" t="s">
        <v>148</v>
      </c>
    </row>
    <row r="15" spans="1:4">
      <c r="A15" s="30">
        <v>3</v>
      </c>
      <c r="B15" s="113" t="s">
        <v>15</v>
      </c>
      <c r="C15" s="114"/>
      <c r="D15" s="31">
        <v>2503.9499999999998</v>
      </c>
    </row>
    <row r="16" spans="1:4" ht="38.25">
      <c r="A16" s="30">
        <v>4</v>
      </c>
      <c r="B16" s="113" t="s">
        <v>16</v>
      </c>
      <c r="C16" s="114"/>
      <c r="D16" s="32" t="str">
        <f>UPPER(C6)</f>
        <v>MOTORISTA DE VEÍCULOS - CATEGORIA B</v>
      </c>
    </row>
    <row r="17" spans="1:4">
      <c r="A17" s="177"/>
      <c r="B17" s="137"/>
      <c r="C17" s="137"/>
      <c r="D17" s="137"/>
    </row>
    <row r="18" spans="1:4">
      <c r="A18" s="138" t="s">
        <v>17</v>
      </c>
      <c r="B18" s="178"/>
      <c r="C18" s="178"/>
      <c r="D18" s="178"/>
    </row>
    <row r="19" spans="1:4">
      <c r="A19" s="34">
        <v>1</v>
      </c>
      <c r="B19" s="35" t="s">
        <v>18</v>
      </c>
      <c r="C19" s="36" t="s">
        <v>19</v>
      </c>
      <c r="D19" s="34" t="s">
        <v>20</v>
      </c>
    </row>
    <row r="20" spans="1:4">
      <c r="A20" s="37" t="s">
        <v>1</v>
      </c>
      <c r="B20" s="38" t="s">
        <v>21</v>
      </c>
      <c r="C20" s="39"/>
      <c r="D20" s="40">
        <f>D15</f>
        <v>2503.9499999999998</v>
      </c>
    </row>
    <row r="21" spans="1:4">
      <c r="A21" s="37" t="s">
        <v>2</v>
      </c>
      <c r="B21" s="41" t="s">
        <v>22</v>
      </c>
      <c r="C21" s="42">
        <v>0.3</v>
      </c>
      <c r="D21" s="40"/>
    </row>
    <row r="22" spans="1:4">
      <c r="A22" s="37" t="s">
        <v>3</v>
      </c>
      <c r="B22" s="41" t="s">
        <v>23</v>
      </c>
      <c r="C22" s="42">
        <v>0.4</v>
      </c>
      <c r="D22" s="40"/>
    </row>
    <row r="23" spans="1:4">
      <c r="A23" s="37" t="s">
        <v>4</v>
      </c>
      <c r="B23" s="41" t="s">
        <v>24</v>
      </c>
      <c r="C23" s="43">
        <v>7</v>
      </c>
      <c r="D23" s="40"/>
    </row>
    <row r="24" spans="1:4">
      <c r="A24" s="37" t="s">
        <v>25</v>
      </c>
      <c r="B24" s="41" t="s">
        <v>26</v>
      </c>
      <c r="C24" s="43">
        <v>1</v>
      </c>
      <c r="D24" s="40"/>
    </row>
    <row r="25" spans="1:4">
      <c r="A25" s="37" t="s">
        <v>27</v>
      </c>
      <c r="B25" s="38" t="s">
        <v>28</v>
      </c>
      <c r="C25" s="44"/>
      <c r="D25" s="40"/>
    </row>
    <row r="26" spans="1:4">
      <c r="A26" s="115" t="s">
        <v>29</v>
      </c>
      <c r="B26" s="116"/>
      <c r="C26" s="117"/>
      <c r="D26" s="45">
        <f>SUM(D20:D24)</f>
        <v>2503.9499999999998</v>
      </c>
    </row>
    <row r="27" spans="1:4">
      <c r="A27" s="161" t="s">
        <v>30</v>
      </c>
      <c r="B27" s="137"/>
      <c r="C27" s="137"/>
      <c r="D27" s="137"/>
    </row>
    <row r="28" spans="1:4">
      <c r="A28" s="46"/>
      <c r="B28" s="46"/>
      <c r="C28" s="46"/>
      <c r="D28" s="47"/>
    </row>
    <row r="29" spans="1:4">
      <c r="A29" s="138" t="s">
        <v>31</v>
      </c>
      <c r="B29" s="138"/>
      <c r="C29" s="138"/>
      <c r="D29" s="138"/>
    </row>
    <row r="30" spans="1:4">
      <c r="A30" s="48" t="s">
        <v>32</v>
      </c>
      <c r="B30" s="49" t="s">
        <v>33</v>
      </c>
      <c r="C30" s="50" t="s">
        <v>19</v>
      </c>
      <c r="D30" s="48" t="s">
        <v>20</v>
      </c>
    </row>
    <row r="31" spans="1:4">
      <c r="A31" s="37" t="s">
        <v>1</v>
      </c>
      <c r="B31" s="38" t="s">
        <v>34</v>
      </c>
      <c r="C31" s="44">
        <v>8.3299999999999999E-2</v>
      </c>
      <c r="D31" s="40">
        <f>C31*D26</f>
        <v>208.57903499999998</v>
      </c>
    </row>
    <row r="32" spans="1:4">
      <c r="A32" s="37" t="s">
        <v>2</v>
      </c>
      <c r="B32" s="38" t="s">
        <v>35</v>
      </c>
      <c r="C32" s="51">
        <f>9.075%+3.025%</f>
        <v>0.121</v>
      </c>
      <c r="D32" s="40">
        <f>C32*D26</f>
        <v>302.97794999999996</v>
      </c>
    </row>
    <row r="33" spans="1:4">
      <c r="A33" s="162" t="s">
        <v>37</v>
      </c>
      <c r="B33" s="163"/>
      <c r="C33" s="52">
        <f>SUM(C31:C32)</f>
        <v>0.20429999999999998</v>
      </c>
      <c r="D33" s="53">
        <f>SUM(D31:D32)</f>
        <v>511.55698499999994</v>
      </c>
    </row>
    <row r="34" spans="1:4" ht="40.5" customHeight="1">
      <c r="A34" s="122" t="s">
        <v>38</v>
      </c>
      <c r="B34" s="164"/>
      <c r="C34" s="164"/>
      <c r="D34" s="165"/>
    </row>
    <row r="35" spans="1:4">
      <c r="A35" s="125"/>
      <c r="B35" s="126"/>
      <c r="C35" s="126"/>
      <c r="D35" s="126"/>
    </row>
    <row r="36" spans="1:4" ht="30">
      <c r="A36" s="55" t="s">
        <v>39</v>
      </c>
      <c r="B36" s="56" t="s">
        <v>40</v>
      </c>
      <c r="C36" s="34" t="s">
        <v>19</v>
      </c>
      <c r="D36" s="34" t="s">
        <v>20</v>
      </c>
    </row>
    <row r="37" spans="1:4">
      <c r="A37" s="37" t="s">
        <v>1</v>
      </c>
      <c r="B37" s="38" t="s">
        <v>41</v>
      </c>
      <c r="C37" s="108">
        <v>0.2</v>
      </c>
      <c r="D37" s="58">
        <f>C37*($D$26+$D$33)</f>
        <v>603.10139700000002</v>
      </c>
    </row>
    <row r="38" spans="1:4">
      <c r="A38" s="37" t="s">
        <v>2</v>
      </c>
      <c r="B38" s="38" t="s">
        <v>42</v>
      </c>
      <c r="C38" s="108">
        <v>2.5000000000000001E-2</v>
      </c>
      <c r="D38" s="58">
        <f t="shared" ref="D38:D44" si="0">C38*($D$26+$D$33)</f>
        <v>75.387674625000002</v>
      </c>
    </row>
    <row r="39" spans="1:4">
      <c r="A39" s="37" t="s">
        <v>3</v>
      </c>
      <c r="B39" s="38" t="s">
        <v>43</v>
      </c>
      <c r="C39" s="108">
        <f>2%*1</f>
        <v>0.02</v>
      </c>
      <c r="D39" s="58">
        <f t="shared" si="0"/>
        <v>60.310139700000001</v>
      </c>
    </row>
    <row r="40" spans="1:4">
      <c r="A40" s="37" t="s">
        <v>4</v>
      </c>
      <c r="B40" s="38" t="s">
        <v>44</v>
      </c>
      <c r="C40" s="108">
        <v>1.4999999999999999E-2</v>
      </c>
      <c r="D40" s="58">
        <f t="shared" si="0"/>
        <v>45.232604774999999</v>
      </c>
    </row>
    <row r="41" spans="1:4">
      <c r="A41" s="37" t="s">
        <v>25</v>
      </c>
      <c r="B41" s="38" t="s">
        <v>45</v>
      </c>
      <c r="C41" s="108">
        <v>0.01</v>
      </c>
      <c r="D41" s="58">
        <f t="shared" si="0"/>
        <v>30.15506985</v>
      </c>
    </row>
    <row r="42" spans="1:4">
      <c r="A42" s="37" t="s">
        <v>27</v>
      </c>
      <c r="B42" s="38" t="s">
        <v>46</v>
      </c>
      <c r="C42" s="108">
        <v>6.0000000000000001E-3</v>
      </c>
      <c r="D42" s="58">
        <f t="shared" si="0"/>
        <v>18.09304191</v>
      </c>
    </row>
    <row r="43" spans="1:4">
      <c r="A43" s="37" t="s">
        <v>47</v>
      </c>
      <c r="B43" s="38" t="s">
        <v>48</v>
      </c>
      <c r="C43" s="108">
        <v>2E-3</v>
      </c>
      <c r="D43" s="58">
        <f t="shared" si="0"/>
        <v>6.0310139700000001</v>
      </c>
    </row>
    <row r="44" spans="1:4">
      <c r="A44" s="37" t="s">
        <v>49</v>
      </c>
      <c r="B44" s="38" t="s">
        <v>50</v>
      </c>
      <c r="C44" s="108">
        <v>0.08</v>
      </c>
      <c r="D44" s="58">
        <f t="shared" si="0"/>
        <v>241.2405588</v>
      </c>
    </row>
    <row r="45" spans="1:4">
      <c r="A45" s="128" t="s">
        <v>37</v>
      </c>
      <c r="B45" s="129"/>
      <c r="C45" s="59">
        <f>SUM(C37:C44)</f>
        <v>0.35800000000000004</v>
      </c>
      <c r="D45" s="60">
        <f>SUM(D37:D44)</f>
        <v>1079.5515006300002</v>
      </c>
    </row>
    <row r="46" spans="1:4">
      <c r="A46" s="151" t="s">
        <v>51</v>
      </c>
      <c r="B46" s="131"/>
      <c r="C46" s="131"/>
      <c r="D46" s="132"/>
    </row>
    <row r="47" spans="1:4">
      <c r="A47" s="157" t="s">
        <v>52</v>
      </c>
      <c r="B47" s="137"/>
      <c r="C47" s="137"/>
      <c r="D47" s="158"/>
    </row>
    <row r="48" spans="1:4">
      <c r="A48" s="159" t="s">
        <v>53</v>
      </c>
      <c r="B48" s="134"/>
      <c r="C48" s="134"/>
      <c r="D48" s="135"/>
    </row>
    <row r="49" spans="1:6">
      <c r="A49" s="160"/>
      <c r="B49" s="144"/>
      <c r="C49" s="144"/>
      <c r="D49" s="144"/>
    </row>
    <row r="50" spans="1:6">
      <c r="A50" s="55" t="s">
        <v>54</v>
      </c>
      <c r="B50" s="35" t="s">
        <v>55</v>
      </c>
      <c r="C50" s="61" t="s">
        <v>56</v>
      </c>
      <c r="D50" s="34" t="s">
        <v>20</v>
      </c>
    </row>
    <row r="51" spans="1:6">
      <c r="A51" s="37" t="s">
        <v>1</v>
      </c>
      <c r="B51" s="62" t="s">
        <v>57</v>
      </c>
      <c r="C51" s="109">
        <v>4.5</v>
      </c>
      <c r="D51" s="110">
        <f>IF(C51*44-(6%*D20)&lt;0,0,C51*44-(6%*D20))</f>
        <v>47.763000000000005</v>
      </c>
    </row>
    <row r="52" spans="1:6">
      <c r="A52" s="37" t="s">
        <v>2</v>
      </c>
      <c r="B52" s="62" t="s">
        <v>58</v>
      </c>
      <c r="C52" s="63">
        <v>22</v>
      </c>
      <c r="D52" s="58">
        <f>((C52*22)-((C52*22)*0))</f>
        <v>484</v>
      </c>
      <c r="F52" s="64"/>
    </row>
    <row r="53" spans="1:6">
      <c r="A53" s="37" t="s">
        <v>3</v>
      </c>
      <c r="B53" s="62" t="s">
        <v>118</v>
      </c>
      <c r="C53" s="63"/>
      <c r="D53" s="58">
        <v>0</v>
      </c>
    </row>
    <row r="54" spans="1:6">
      <c r="A54" s="37" t="s">
        <v>4</v>
      </c>
      <c r="B54" s="62" t="s">
        <v>126</v>
      </c>
      <c r="C54" s="65"/>
      <c r="D54" s="58">
        <v>0</v>
      </c>
    </row>
    <row r="55" spans="1:6">
      <c r="A55" s="37" t="s">
        <v>25</v>
      </c>
      <c r="B55" s="62" t="s">
        <v>127</v>
      </c>
      <c r="C55" s="63"/>
      <c r="D55" s="58">
        <f>C55</f>
        <v>0</v>
      </c>
    </row>
    <row r="56" spans="1:6">
      <c r="A56" s="37" t="s">
        <v>27</v>
      </c>
      <c r="B56" s="62" t="s">
        <v>119</v>
      </c>
      <c r="C56" s="63"/>
      <c r="D56" s="58">
        <v>0</v>
      </c>
    </row>
    <row r="57" spans="1:6">
      <c r="A57" s="37" t="s">
        <v>47</v>
      </c>
      <c r="B57" s="66" t="s">
        <v>149</v>
      </c>
      <c r="C57" s="63">
        <v>165</v>
      </c>
      <c r="D57" s="58">
        <f>C57</f>
        <v>165</v>
      </c>
    </row>
    <row r="58" spans="1:6">
      <c r="A58" s="128" t="s">
        <v>37</v>
      </c>
      <c r="B58" s="179"/>
      <c r="C58" s="129"/>
      <c r="D58" s="60">
        <f>SUM(D51:D57)</f>
        <v>696.76300000000003</v>
      </c>
    </row>
    <row r="59" spans="1:6">
      <c r="A59" s="151" t="s">
        <v>59</v>
      </c>
      <c r="B59" s="131"/>
      <c r="C59" s="131"/>
      <c r="D59" s="132"/>
    </row>
    <row r="60" spans="1:6" ht="23.25" customHeight="1">
      <c r="A60" s="133" t="s">
        <v>60</v>
      </c>
      <c r="B60" s="134"/>
      <c r="C60" s="134"/>
      <c r="D60" s="135"/>
    </row>
    <row r="61" spans="1:6">
      <c r="A61" s="67"/>
      <c r="B61" s="33"/>
      <c r="C61" s="33"/>
      <c r="D61" s="33"/>
    </row>
    <row r="62" spans="1:6">
      <c r="A62" s="68" t="s">
        <v>61</v>
      </c>
      <c r="B62" s="68" t="s">
        <v>62</v>
      </c>
      <c r="C62" s="69" t="s">
        <v>19</v>
      </c>
      <c r="D62" s="69" t="s">
        <v>20</v>
      </c>
    </row>
    <row r="63" spans="1:6">
      <c r="A63" s="70" t="s">
        <v>1</v>
      </c>
      <c r="B63" s="71" t="s">
        <v>63</v>
      </c>
      <c r="C63" s="72">
        <f>((0.5*15)/220)*1.5</f>
        <v>5.1136363636363633E-2</v>
      </c>
      <c r="D63" s="73"/>
    </row>
    <row r="64" spans="1:6">
      <c r="A64" s="142" t="s">
        <v>37</v>
      </c>
      <c r="B64" s="152"/>
      <c r="C64" s="152"/>
      <c r="D64" s="75">
        <f>D63</f>
        <v>0</v>
      </c>
    </row>
    <row r="65" spans="1:14">
      <c r="A65" s="76"/>
      <c r="B65" s="76"/>
      <c r="C65" s="76"/>
      <c r="D65" s="76"/>
    </row>
    <row r="66" spans="1:14">
      <c r="A66" s="138" t="s">
        <v>64</v>
      </c>
      <c r="B66" s="153"/>
      <c r="C66" s="153"/>
      <c r="D66" s="153"/>
    </row>
    <row r="67" spans="1:14">
      <c r="A67" s="34">
        <v>2</v>
      </c>
      <c r="B67" s="35" t="s">
        <v>65</v>
      </c>
      <c r="C67" s="36" t="s">
        <v>19</v>
      </c>
      <c r="D67" s="34" t="s">
        <v>20</v>
      </c>
    </row>
    <row r="68" spans="1:14">
      <c r="A68" s="37" t="s">
        <v>32</v>
      </c>
      <c r="B68" s="38" t="s">
        <v>33</v>
      </c>
      <c r="C68" s="51">
        <f>D68/D$72</f>
        <v>0.22359515742604524</v>
      </c>
      <c r="D68" s="40">
        <f>D33</f>
        <v>511.55698499999994</v>
      </c>
    </row>
    <row r="69" spans="1:14">
      <c r="A69" s="37" t="s">
        <v>39</v>
      </c>
      <c r="B69" s="38" t="s">
        <v>66</v>
      </c>
      <c r="C69" s="51">
        <f t="shared" ref="C69:C71" si="1">D69/D$72</f>
        <v>0.47185845333123211</v>
      </c>
      <c r="D69" s="40">
        <f>D45</f>
        <v>1079.5515006300002</v>
      </c>
    </row>
    <row r="70" spans="1:14">
      <c r="A70" s="37" t="s">
        <v>54</v>
      </c>
      <c r="B70" s="38" t="s">
        <v>55</v>
      </c>
      <c r="C70" s="51">
        <f t="shared" si="1"/>
        <v>0.30454638924272259</v>
      </c>
      <c r="D70" s="40">
        <f>D58</f>
        <v>696.76300000000003</v>
      </c>
    </row>
    <row r="71" spans="1:14">
      <c r="A71" s="77" t="s">
        <v>61</v>
      </c>
      <c r="B71" s="78" t="s">
        <v>62</v>
      </c>
      <c r="C71" s="79">
        <f t="shared" si="1"/>
        <v>0</v>
      </c>
      <c r="D71" s="40">
        <f>D63</f>
        <v>0</v>
      </c>
    </row>
    <row r="72" spans="1:14">
      <c r="A72" s="115" t="s">
        <v>67</v>
      </c>
      <c r="B72" s="147"/>
      <c r="C72" s="80">
        <f>SUM(C68:C71)</f>
        <v>0.99999999999999989</v>
      </c>
      <c r="D72" s="81">
        <f>SUM(D68:D71)</f>
        <v>2287.8714856300003</v>
      </c>
    </row>
    <row r="73" spans="1:14">
      <c r="A73" s="140"/>
      <c r="B73" s="141"/>
      <c r="C73" s="126"/>
      <c r="D73" s="141"/>
    </row>
    <row r="74" spans="1:14">
      <c r="A74" s="138" t="s">
        <v>68</v>
      </c>
      <c r="B74" s="154"/>
      <c r="C74" s="154"/>
      <c r="D74" s="154"/>
    </row>
    <row r="75" spans="1:14">
      <c r="A75" s="34">
        <v>3</v>
      </c>
      <c r="B75" s="35" t="s">
        <v>69</v>
      </c>
      <c r="C75" s="36" t="s">
        <v>19</v>
      </c>
      <c r="D75" s="34" t="s">
        <v>20</v>
      </c>
    </row>
    <row r="76" spans="1:14">
      <c r="A76" s="37" t="s">
        <v>1</v>
      </c>
      <c r="B76" s="38" t="s">
        <v>70</v>
      </c>
      <c r="C76" s="44">
        <f>((1/12))*5%</f>
        <v>4.1666666666666666E-3</v>
      </c>
      <c r="D76" s="40">
        <f t="shared" ref="D76:D81" si="2">(D$26)*C76</f>
        <v>10.433124999999999</v>
      </c>
    </row>
    <row r="77" spans="1:14">
      <c r="A77" s="37" t="s">
        <v>2</v>
      </c>
      <c r="B77" s="38" t="s">
        <v>71</v>
      </c>
      <c r="C77" s="44">
        <f>C76*0.08</f>
        <v>3.3333333333333332E-4</v>
      </c>
      <c r="D77" s="40">
        <f t="shared" si="2"/>
        <v>0.83464999999999989</v>
      </c>
    </row>
    <row r="78" spans="1:14">
      <c r="A78" s="37" t="s">
        <v>3</v>
      </c>
      <c r="B78" s="38" t="s">
        <v>72</v>
      </c>
      <c r="C78" s="44">
        <f>(0.08*0.4)*5%</f>
        <v>1.6000000000000001E-3</v>
      </c>
      <c r="D78" s="40">
        <f t="shared" si="2"/>
        <v>4.0063199999999997</v>
      </c>
    </row>
    <row r="79" spans="1:14">
      <c r="A79" s="37" t="s">
        <v>4</v>
      </c>
      <c r="B79" s="38" t="s">
        <v>128</v>
      </c>
      <c r="C79" s="44">
        <f>((7/30)/60)</f>
        <v>3.8888888888888888E-3</v>
      </c>
      <c r="D79" s="40">
        <f t="shared" si="2"/>
        <v>9.7375833333333315</v>
      </c>
      <c r="E79" s="107" t="s">
        <v>151</v>
      </c>
      <c r="F79" s="107"/>
      <c r="N79" s="20" t="str">
        <f>LOWER(H79)</f>
        <v/>
      </c>
    </row>
    <row r="80" spans="1:14">
      <c r="A80" s="37" t="s">
        <v>25</v>
      </c>
      <c r="B80" s="20" t="s">
        <v>129</v>
      </c>
      <c r="C80" s="44">
        <f>C45*C79</f>
        <v>1.3922222222222224E-3</v>
      </c>
      <c r="D80" s="105">
        <f t="shared" si="2"/>
        <v>3.4860548333333337</v>
      </c>
    </row>
    <row r="81" spans="1:6">
      <c r="A81" s="37" t="s">
        <v>27</v>
      </c>
      <c r="B81" s="38" t="s">
        <v>73</v>
      </c>
      <c r="C81" s="104">
        <f>(0.08*0.4)*1/60</f>
        <v>5.3333333333333336E-4</v>
      </c>
      <c r="D81" s="73">
        <f t="shared" si="2"/>
        <v>1.33544</v>
      </c>
      <c r="E81" s="107" t="s">
        <v>151</v>
      </c>
      <c r="F81" s="107"/>
    </row>
    <row r="82" spans="1:6">
      <c r="A82" s="128" t="s">
        <v>37</v>
      </c>
      <c r="B82" s="129"/>
      <c r="C82" s="82">
        <f>SUM(C76:C81)</f>
        <v>1.1914444444444443E-2</v>
      </c>
      <c r="D82" s="106">
        <f>SUM(D76:D81)</f>
        <v>29.833173166666661</v>
      </c>
    </row>
    <row r="83" spans="1:6">
      <c r="A83" s="155" t="s">
        <v>74</v>
      </c>
      <c r="B83" s="123"/>
      <c r="C83" s="123"/>
      <c r="D83" s="124"/>
    </row>
    <row r="84" spans="1:6">
      <c r="A84" s="156"/>
      <c r="B84" s="144"/>
      <c r="C84" s="144"/>
      <c r="D84" s="144"/>
    </row>
    <row r="85" spans="1:6">
      <c r="A85" s="138" t="s">
        <v>75</v>
      </c>
      <c r="B85" s="153"/>
      <c r="C85" s="153"/>
      <c r="D85" s="153"/>
    </row>
    <row r="86" spans="1:6">
      <c r="A86" s="34" t="s">
        <v>76</v>
      </c>
      <c r="B86" s="35" t="s">
        <v>77</v>
      </c>
      <c r="C86" s="36" t="s">
        <v>19</v>
      </c>
      <c r="D86" s="34" t="s">
        <v>20</v>
      </c>
    </row>
    <row r="87" spans="1:6">
      <c r="A87" s="37" t="s">
        <v>1</v>
      </c>
      <c r="B87" s="38" t="s">
        <v>78</v>
      </c>
      <c r="C87" s="51">
        <v>3.3E-3</v>
      </c>
      <c r="D87" s="40">
        <f>D$26*C87</f>
        <v>8.2630349999999986</v>
      </c>
    </row>
    <row r="88" spans="1:6">
      <c r="A88" s="37" t="s">
        <v>2</v>
      </c>
      <c r="B88" s="38" t="s">
        <v>79</v>
      </c>
      <c r="C88" s="44">
        <v>2.9999999999999997E-4</v>
      </c>
      <c r="D88" s="40">
        <f>D$26*C88</f>
        <v>0.75118499999999988</v>
      </c>
    </row>
    <row r="89" spans="1:6">
      <c r="A89" s="37" t="s">
        <v>3</v>
      </c>
      <c r="B89" s="38" t="s">
        <v>80</v>
      </c>
      <c r="C89" s="44">
        <v>2.9999999999999997E-4</v>
      </c>
      <c r="D89" s="40">
        <f t="shared" ref="D89:D92" si="3">D$26*C89</f>
        <v>0.75118499999999988</v>
      </c>
    </row>
    <row r="90" spans="1:6">
      <c r="A90" s="37" t="s">
        <v>4</v>
      </c>
      <c r="B90" s="38" t="s">
        <v>81</v>
      </c>
      <c r="C90" s="44">
        <v>2.9999999999999997E-4</v>
      </c>
      <c r="D90" s="40">
        <f t="shared" si="3"/>
        <v>0.75118499999999988</v>
      </c>
    </row>
    <row r="91" spans="1:6">
      <c r="A91" s="37" t="s">
        <v>25</v>
      </c>
      <c r="B91" s="38" t="s">
        <v>82</v>
      </c>
      <c r="C91" s="44">
        <v>2.0000000000000001E-4</v>
      </c>
      <c r="D91" s="40">
        <f t="shared" si="3"/>
        <v>0.50078999999999996</v>
      </c>
    </row>
    <row r="92" spans="1:6">
      <c r="A92" s="37" t="s">
        <v>27</v>
      </c>
      <c r="B92" s="38" t="s">
        <v>83</v>
      </c>
      <c r="C92" s="44">
        <v>0</v>
      </c>
      <c r="D92" s="40">
        <f t="shared" si="3"/>
        <v>0</v>
      </c>
    </row>
    <row r="93" spans="1:6">
      <c r="A93" s="115" t="s">
        <v>36</v>
      </c>
      <c r="B93" s="117"/>
      <c r="C93" s="83">
        <f>SUM(C87:C92)</f>
        <v>4.3999999999999994E-3</v>
      </c>
      <c r="D93" s="84">
        <f>SUM(D87:D92)</f>
        <v>11.017379999999998</v>
      </c>
    </row>
    <row r="94" spans="1:6" ht="33" customHeight="1">
      <c r="A94" s="122" t="s">
        <v>84</v>
      </c>
      <c r="B94" s="123"/>
      <c r="C94" s="123"/>
      <c r="D94" s="124"/>
    </row>
    <row r="95" spans="1:6">
      <c r="A95" s="140"/>
      <c r="B95" s="141"/>
      <c r="C95" s="141"/>
      <c r="D95" s="141"/>
    </row>
    <row r="96" spans="1:6">
      <c r="A96" s="69" t="s">
        <v>85</v>
      </c>
      <c r="B96" s="74" t="s">
        <v>86</v>
      </c>
      <c r="C96" s="85" t="s">
        <v>19</v>
      </c>
      <c r="D96" s="69" t="s">
        <v>20</v>
      </c>
    </row>
    <row r="97" spans="1:6">
      <c r="A97" s="70" t="s">
        <v>1</v>
      </c>
      <c r="B97" s="86" t="s">
        <v>87</v>
      </c>
      <c r="C97" s="87">
        <f>(1*15)/220</f>
        <v>6.8181818181818177E-2</v>
      </c>
      <c r="D97" s="73"/>
    </row>
    <row r="98" spans="1:6">
      <c r="A98" s="142" t="s">
        <v>37</v>
      </c>
      <c r="B98" s="142"/>
      <c r="C98" s="142"/>
      <c r="D98" s="75">
        <f>D97</f>
        <v>0</v>
      </c>
    </row>
    <row r="99" spans="1:6">
      <c r="A99" s="143"/>
      <c r="B99" s="144"/>
      <c r="C99" s="144"/>
      <c r="D99" s="144"/>
    </row>
    <row r="100" spans="1:6">
      <c r="A100" s="145" t="s">
        <v>88</v>
      </c>
      <c r="B100" s="146"/>
      <c r="C100" s="146"/>
      <c r="D100" s="146"/>
    </row>
    <row r="101" spans="1:6">
      <c r="A101" s="34">
        <v>4</v>
      </c>
      <c r="B101" s="35" t="s">
        <v>89</v>
      </c>
      <c r="C101" s="34" t="s">
        <v>19</v>
      </c>
      <c r="D101" s="34" t="s">
        <v>20</v>
      </c>
    </row>
    <row r="102" spans="1:6">
      <c r="A102" s="37" t="s">
        <v>76</v>
      </c>
      <c r="B102" s="38" t="s">
        <v>77</v>
      </c>
      <c r="C102" s="57">
        <f>C93</f>
        <v>4.3999999999999994E-3</v>
      </c>
      <c r="D102" s="88">
        <f>D93</f>
        <v>11.017379999999998</v>
      </c>
    </row>
    <row r="103" spans="1:6">
      <c r="A103" s="37" t="s">
        <v>85</v>
      </c>
      <c r="B103" s="38" t="s">
        <v>86</v>
      </c>
      <c r="C103" s="89">
        <f>D103/D$104</f>
        <v>0</v>
      </c>
      <c r="D103" s="88">
        <f>D98</f>
        <v>0</v>
      </c>
    </row>
    <row r="104" spans="1:6">
      <c r="A104" s="115" t="s">
        <v>37</v>
      </c>
      <c r="B104" s="147"/>
      <c r="C104" s="80">
        <f>SUM(C102:C103)</f>
        <v>4.3999999999999994E-3</v>
      </c>
      <c r="D104" s="90">
        <f>SUM(D102:D103)</f>
        <v>11.017379999999998</v>
      </c>
    </row>
    <row r="105" spans="1:6">
      <c r="A105" s="140"/>
      <c r="B105" s="141"/>
      <c r="C105" s="126"/>
      <c r="D105" s="141"/>
    </row>
    <row r="106" spans="1:6">
      <c r="A106" s="148" t="s">
        <v>90</v>
      </c>
      <c r="B106" s="148"/>
      <c r="C106" s="148"/>
      <c r="D106" s="148"/>
    </row>
    <row r="107" spans="1:6">
      <c r="A107" s="34">
        <v>5</v>
      </c>
      <c r="B107" s="149" t="s">
        <v>91</v>
      </c>
      <c r="C107" s="150" t="s">
        <v>92</v>
      </c>
      <c r="D107" s="34" t="s">
        <v>93</v>
      </c>
    </row>
    <row r="108" spans="1:6">
      <c r="A108" s="37" t="s">
        <v>1</v>
      </c>
      <c r="B108" s="113" t="s">
        <v>131</v>
      </c>
      <c r="C108" s="118">
        <f>[1]Insumos!F9</f>
        <v>395.11099999999999</v>
      </c>
      <c r="D108" s="58">
        <v>5</v>
      </c>
    </row>
    <row r="109" spans="1:6">
      <c r="A109" s="91" t="s">
        <v>2</v>
      </c>
      <c r="B109" s="113" t="s">
        <v>94</v>
      </c>
      <c r="C109" s="118" t="e">
        <f>[1]Insumos!#REF!</f>
        <v>#REF!</v>
      </c>
      <c r="D109" s="58">
        <v>0</v>
      </c>
      <c r="F109" s="92"/>
    </row>
    <row r="110" spans="1:6">
      <c r="A110" s="91" t="s">
        <v>3</v>
      </c>
      <c r="B110" s="113" t="s">
        <v>95</v>
      </c>
      <c r="C110" s="118" t="e">
        <f>[1]Insumos!#REF!</f>
        <v>#REF!</v>
      </c>
      <c r="D110" s="58">
        <v>0</v>
      </c>
    </row>
    <row r="111" spans="1:6">
      <c r="A111" s="91" t="s">
        <v>4</v>
      </c>
      <c r="B111" s="113" t="s">
        <v>28</v>
      </c>
      <c r="C111" s="118"/>
      <c r="D111" s="58">
        <v>0</v>
      </c>
    </row>
    <row r="112" spans="1:6">
      <c r="A112" s="119" t="s">
        <v>37</v>
      </c>
      <c r="B112" s="120"/>
      <c r="C112" s="121"/>
      <c r="D112" s="93">
        <f>SUM(D108:D111)</f>
        <v>5</v>
      </c>
    </row>
    <row r="113" spans="1:4">
      <c r="A113" s="122" t="s">
        <v>96</v>
      </c>
      <c r="B113" s="123"/>
      <c r="C113" s="123"/>
      <c r="D113" s="124"/>
    </row>
    <row r="114" spans="1:4">
      <c r="A114" s="125"/>
      <c r="B114" s="126"/>
      <c r="C114" s="126"/>
      <c r="D114" s="126"/>
    </row>
    <row r="115" spans="1:4">
      <c r="A115" s="127" t="s">
        <v>97</v>
      </c>
      <c r="B115" s="127"/>
      <c r="C115" s="127"/>
      <c r="D115" s="127"/>
    </row>
    <row r="116" spans="1:4">
      <c r="A116" s="34">
        <v>6</v>
      </c>
      <c r="B116" s="35" t="s">
        <v>98</v>
      </c>
      <c r="C116" s="34" t="s">
        <v>19</v>
      </c>
      <c r="D116" s="34" t="s">
        <v>20</v>
      </c>
    </row>
    <row r="117" spans="1:4">
      <c r="A117" s="37" t="s">
        <v>1</v>
      </c>
      <c r="B117" s="38" t="s">
        <v>99</v>
      </c>
      <c r="C117" s="57">
        <v>1E-3</v>
      </c>
      <c r="D117" s="40">
        <f>D136*C117</f>
        <v>4.8376720387966667</v>
      </c>
    </row>
    <row r="118" spans="1:4">
      <c r="A118" s="37" t="s">
        <v>2</v>
      </c>
      <c r="B118" s="38" t="s">
        <v>100</v>
      </c>
      <c r="C118" s="57">
        <v>1E-3</v>
      </c>
      <c r="D118" s="40">
        <f>(D136+D117)*C118</f>
        <v>4.842509710835464</v>
      </c>
    </row>
    <row r="119" spans="1:4">
      <c r="A119" s="37" t="s">
        <v>3</v>
      </c>
      <c r="B119" s="94" t="s">
        <v>101</v>
      </c>
      <c r="C119" s="61">
        <f>SUM(C120:C123)</f>
        <v>9.9500000000000005E-2</v>
      </c>
      <c r="D119" s="95"/>
    </row>
    <row r="120" spans="1:4">
      <c r="A120" s="37" t="s">
        <v>102</v>
      </c>
      <c r="B120" s="38" t="s">
        <v>103</v>
      </c>
      <c r="C120" s="57">
        <v>8.5000000000000006E-3</v>
      </c>
      <c r="D120" s="40">
        <f>((D136+D117+D118)/(1-C119))*C120</f>
        <v>45.755129233363192</v>
      </c>
    </row>
    <row r="121" spans="1:4">
      <c r="A121" s="37" t="s">
        <v>104</v>
      </c>
      <c r="B121" s="38" t="s">
        <v>105</v>
      </c>
      <c r="C121" s="57">
        <v>4.1000000000000002E-2</v>
      </c>
      <c r="D121" s="40">
        <f>((D136+D117+D118)/(1-C119))*C121</f>
        <v>220.70121159622244</v>
      </c>
    </row>
    <row r="122" spans="1:4">
      <c r="A122" s="37" t="s">
        <v>106</v>
      </c>
      <c r="B122" s="38" t="s">
        <v>107</v>
      </c>
      <c r="C122" s="57">
        <v>0</v>
      </c>
      <c r="D122" s="40">
        <f>((D136+D117+D118)/(1-C119))*C122</f>
        <v>0</v>
      </c>
    </row>
    <row r="123" spans="1:4">
      <c r="A123" s="37" t="s">
        <v>108</v>
      </c>
      <c r="B123" s="38" t="s">
        <v>109</v>
      </c>
      <c r="C123" s="57">
        <v>0.05</v>
      </c>
      <c r="D123" s="40">
        <f>((D136+D117+D118)/(1-C119))*C123</f>
        <v>269.14781901978347</v>
      </c>
    </row>
    <row r="124" spans="1:4">
      <c r="A124" s="128" t="s">
        <v>37</v>
      </c>
      <c r="B124" s="129"/>
      <c r="C124" s="59"/>
      <c r="D124" s="60">
        <f>SUM(D117:D123)</f>
        <v>545.28434159900121</v>
      </c>
    </row>
    <row r="125" spans="1:4">
      <c r="A125" s="130" t="s">
        <v>110</v>
      </c>
      <c r="B125" s="131"/>
      <c r="C125" s="131"/>
      <c r="D125" s="132"/>
    </row>
    <row r="126" spans="1:4">
      <c r="A126" s="133" t="s">
        <v>111</v>
      </c>
      <c r="B126" s="134"/>
      <c r="C126" s="134"/>
      <c r="D126" s="135"/>
    </row>
    <row r="127" spans="1:4">
      <c r="A127" s="22"/>
      <c r="B127" s="136"/>
      <c r="C127" s="137"/>
      <c r="D127" s="137"/>
    </row>
    <row r="128" spans="1:4">
      <c r="A128" s="22"/>
      <c r="B128" s="22"/>
      <c r="C128" s="22"/>
      <c r="D128" s="47"/>
    </row>
    <row r="129" spans="1:6">
      <c r="A129" s="138" t="s">
        <v>112</v>
      </c>
      <c r="B129" s="139"/>
      <c r="C129" s="139"/>
      <c r="D129" s="139"/>
    </row>
    <row r="130" spans="1:6">
      <c r="A130" s="115" t="s">
        <v>113</v>
      </c>
      <c r="B130" s="116"/>
      <c r="C130" s="117"/>
      <c r="D130" s="34" t="s">
        <v>20</v>
      </c>
    </row>
    <row r="131" spans="1:6">
      <c r="A131" s="30" t="s">
        <v>1</v>
      </c>
      <c r="B131" s="113" t="s">
        <v>18</v>
      </c>
      <c r="C131" s="114"/>
      <c r="D131" s="40">
        <f>D26</f>
        <v>2503.9499999999998</v>
      </c>
    </row>
    <row r="132" spans="1:6">
      <c r="A132" s="30" t="s">
        <v>2</v>
      </c>
      <c r="B132" s="113" t="s">
        <v>65</v>
      </c>
      <c r="C132" s="114"/>
      <c r="D132" s="40">
        <f>D72</f>
        <v>2287.8714856300003</v>
      </c>
    </row>
    <row r="133" spans="1:6">
      <c r="A133" s="30" t="s">
        <v>3</v>
      </c>
      <c r="B133" s="113" t="s">
        <v>114</v>
      </c>
      <c r="C133" s="114"/>
      <c r="D133" s="40">
        <f>D82</f>
        <v>29.833173166666661</v>
      </c>
    </row>
    <row r="134" spans="1:6">
      <c r="A134" s="30" t="s">
        <v>4</v>
      </c>
      <c r="B134" s="113" t="s">
        <v>89</v>
      </c>
      <c r="C134" s="114"/>
      <c r="D134" s="40">
        <f>D104</f>
        <v>11.017379999999998</v>
      </c>
    </row>
    <row r="135" spans="1:6">
      <c r="A135" s="30" t="s">
        <v>25</v>
      </c>
      <c r="B135" s="113" t="s">
        <v>91</v>
      </c>
      <c r="C135" s="114"/>
      <c r="D135" s="40">
        <f>D112</f>
        <v>5</v>
      </c>
    </row>
    <row r="136" spans="1:6">
      <c r="A136" s="115" t="s">
        <v>115</v>
      </c>
      <c r="B136" s="116"/>
      <c r="C136" s="117"/>
      <c r="D136" s="45">
        <f>SUM(D131:D135)</f>
        <v>4837.672038796667</v>
      </c>
    </row>
    <row r="137" spans="1:6">
      <c r="A137" s="30" t="s">
        <v>27</v>
      </c>
      <c r="B137" s="113" t="s">
        <v>116</v>
      </c>
      <c r="C137" s="114"/>
      <c r="D137" s="40">
        <f>D124</f>
        <v>545.28434159900121</v>
      </c>
    </row>
    <row r="138" spans="1:6">
      <c r="A138" s="115" t="s">
        <v>117</v>
      </c>
      <c r="B138" s="116"/>
      <c r="C138" s="117"/>
      <c r="D138" s="96">
        <f>SUM(D136,D137)</f>
        <v>5382.956380395668</v>
      </c>
      <c r="F138" s="92"/>
    </row>
    <row r="139" spans="1:6">
      <c r="A139" s="97"/>
      <c r="B139" s="54"/>
      <c r="C139" s="54"/>
      <c r="D139" s="98"/>
    </row>
    <row r="140" spans="1:6">
      <c r="A140" s="97"/>
      <c r="B140" s="54"/>
      <c r="C140" s="54"/>
      <c r="D140" s="98"/>
    </row>
    <row r="141" spans="1:6">
      <c r="A141" s="97"/>
      <c r="B141" s="54"/>
      <c r="C141" s="54"/>
      <c r="D141" s="98"/>
    </row>
    <row r="142" spans="1:6">
      <c r="A142" s="97"/>
      <c r="B142" s="54"/>
      <c r="C142" s="54"/>
      <c r="D142" s="98"/>
    </row>
    <row r="143" spans="1:6">
      <c r="A143" s="97"/>
      <c r="B143" s="54"/>
      <c r="C143" s="54"/>
      <c r="D143" s="98"/>
    </row>
    <row r="144" spans="1:6">
      <c r="A144" s="97"/>
      <c r="B144" s="54"/>
      <c r="C144" s="54"/>
      <c r="D144" s="98"/>
    </row>
    <row r="145" spans="1:11" hidden="1">
      <c r="B145" s="20" t="s">
        <v>130</v>
      </c>
    </row>
    <row r="146" spans="1:11" hidden="1">
      <c r="A146" s="99" t="s">
        <v>120</v>
      </c>
      <c r="B146" s="99" t="s">
        <v>121</v>
      </c>
      <c r="C146" s="99" t="s">
        <v>19</v>
      </c>
      <c r="D146" s="99" t="s">
        <v>122</v>
      </c>
    </row>
    <row r="147" spans="1:11" hidden="1">
      <c r="A147" s="99">
        <v>1</v>
      </c>
      <c r="B147" s="99"/>
      <c r="C147" s="100">
        <f>C31</f>
        <v>8.3299999999999999E-2</v>
      </c>
      <c r="D147" s="101">
        <f>C147*D20</f>
        <v>208.57903499999998</v>
      </c>
    </row>
    <row r="148" spans="1:11" hidden="1">
      <c r="A148" s="99">
        <v>2</v>
      </c>
      <c r="B148" s="99"/>
      <c r="C148" s="100">
        <f>C32-3.025%</f>
        <v>9.0749999999999997E-2</v>
      </c>
      <c r="D148" s="101">
        <f>C148*D20</f>
        <v>227.23346249999997</v>
      </c>
      <c r="K148" s="102"/>
    </row>
    <row r="149" spans="1:11" hidden="1">
      <c r="A149" s="99">
        <v>3</v>
      </c>
      <c r="B149" s="99"/>
      <c r="C149" s="100">
        <f>C32-9.075%</f>
        <v>3.0249999999999999E-2</v>
      </c>
      <c r="D149" s="101">
        <f>C149*D20</f>
        <v>75.744487499999991</v>
      </c>
    </row>
    <row r="150" spans="1:11" hidden="1">
      <c r="A150" s="99"/>
      <c r="B150" s="99"/>
      <c r="C150" s="100">
        <f>SUM(C147:C149)</f>
        <v>0.20429999999999998</v>
      </c>
      <c r="D150" s="101">
        <f>SUM(D147:D149)</f>
        <v>511.55698499999994</v>
      </c>
    </row>
    <row r="151" spans="1:11" hidden="1">
      <c r="A151" s="99">
        <v>4</v>
      </c>
      <c r="B151" s="99"/>
      <c r="C151" s="100" t="e">
        <f>C150*#REF!</f>
        <v>#REF!</v>
      </c>
      <c r="D151" s="101" t="e">
        <f>C151*D20</f>
        <v>#REF!</v>
      </c>
    </row>
    <row r="152" spans="1:11" hidden="1">
      <c r="A152" s="99">
        <v>5</v>
      </c>
      <c r="B152" s="99"/>
      <c r="C152" s="100">
        <f>C81</f>
        <v>5.3333333333333336E-4</v>
      </c>
      <c r="D152" s="101">
        <f>C152*D20</f>
        <v>1.33544</v>
      </c>
    </row>
    <row r="153" spans="1:11" hidden="1">
      <c r="A153" s="99"/>
      <c r="B153" s="99"/>
      <c r="C153" s="100" t="e">
        <f>SUM(C151:C152)+C150</f>
        <v>#REF!</v>
      </c>
      <c r="D153" s="101" t="e">
        <f>SUM(D151:D152)+D150</f>
        <v>#REF!</v>
      </c>
    </row>
    <row r="154" spans="1:11" hidden="1">
      <c r="D154" s="92"/>
    </row>
    <row r="155" spans="1:11" hidden="1">
      <c r="B155" s="99" t="s">
        <v>123</v>
      </c>
      <c r="C155" s="99"/>
      <c r="D155" s="101">
        <f>D138</f>
        <v>5382.956380395668</v>
      </c>
    </row>
    <row r="156" spans="1:11" hidden="1">
      <c r="B156" s="99" t="s">
        <v>124</v>
      </c>
      <c r="C156" s="99"/>
      <c r="D156" s="101" t="e">
        <f>D153</f>
        <v>#REF!</v>
      </c>
    </row>
    <row r="157" spans="1:11" hidden="1">
      <c r="B157" s="99" t="s">
        <v>125</v>
      </c>
      <c r="C157" s="99"/>
      <c r="D157" s="103" t="e">
        <f>D155-D156</f>
        <v>#REF!</v>
      </c>
    </row>
    <row r="158" spans="1:11" hidden="1"/>
    <row r="159" spans="1:11" hidden="1"/>
    <row r="160" spans="1:11" hidden="1"/>
    <row r="161" hidden="1"/>
    <row r="162" hidden="1"/>
    <row r="163" hidden="1"/>
    <row r="164" hidden="1"/>
    <row r="165" hidden="1"/>
    <row r="166" hidden="1"/>
  </sheetData>
  <mergeCells count="69">
    <mergeCell ref="A58:C58"/>
    <mergeCell ref="C6:D6"/>
    <mergeCell ref="A2:D2"/>
    <mergeCell ref="A5:D5"/>
    <mergeCell ref="A26:C26"/>
    <mergeCell ref="C7:D7"/>
    <mergeCell ref="C8:D8"/>
    <mergeCell ref="A10:D10"/>
    <mergeCell ref="A12:D12"/>
    <mergeCell ref="B13:C13"/>
    <mergeCell ref="B14:C14"/>
    <mergeCell ref="B15:C15"/>
    <mergeCell ref="B16:C16"/>
    <mergeCell ref="A17:D17"/>
    <mergeCell ref="A18:D18"/>
    <mergeCell ref="A27:D27"/>
    <mergeCell ref="A29:D29"/>
    <mergeCell ref="A33:B33"/>
    <mergeCell ref="A34:D34"/>
    <mergeCell ref="A35:D35"/>
    <mergeCell ref="A45:B45"/>
    <mergeCell ref="A46:D46"/>
    <mergeCell ref="A47:D47"/>
    <mergeCell ref="A48:D48"/>
    <mergeCell ref="A49:D49"/>
    <mergeCell ref="A93:B93"/>
    <mergeCell ref="A59:D59"/>
    <mergeCell ref="A60:D60"/>
    <mergeCell ref="A64:C64"/>
    <mergeCell ref="A66:D66"/>
    <mergeCell ref="A72:B72"/>
    <mergeCell ref="A73:D73"/>
    <mergeCell ref="A74:D74"/>
    <mergeCell ref="A82:B82"/>
    <mergeCell ref="A83:D83"/>
    <mergeCell ref="A84:D84"/>
    <mergeCell ref="A85:D85"/>
    <mergeCell ref="B109:C109"/>
    <mergeCell ref="A94:D94"/>
    <mergeCell ref="A95:D95"/>
    <mergeCell ref="A98:C98"/>
    <mergeCell ref="A99:D99"/>
    <mergeCell ref="A100:D100"/>
    <mergeCell ref="A104:B104"/>
    <mergeCell ref="A105:D105"/>
    <mergeCell ref="A106:D106"/>
    <mergeCell ref="B107:C107"/>
    <mergeCell ref="B108:C108"/>
    <mergeCell ref="A124:B124"/>
    <mergeCell ref="A125:D125"/>
    <mergeCell ref="A126:D126"/>
    <mergeCell ref="B127:D127"/>
    <mergeCell ref="A129:D129"/>
    <mergeCell ref="A1:D1"/>
    <mergeCell ref="B137:C137"/>
    <mergeCell ref="A138:C138"/>
    <mergeCell ref="B131:C131"/>
    <mergeCell ref="B132:C132"/>
    <mergeCell ref="B133:C133"/>
    <mergeCell ref="B134:C134"/>
    <mergeCell ref="B135:C135"/>
    <mergeCell ref="A136:C136"/>
    <mergeCell ref="A130:C130"/>
    <mergeCell ref="B110:C110"/>
    <mergeCell ref="B111:C111"/>
    <mergeCell ref="A112:C112"/>
    <mergeCell ref="A113:D113"/>
    <mergeCell ref="A114:D114"/>
    <mergeCell ref="A115:D115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motorista 44h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2024-10-16T12:40:41Z</cp:lastPrinted>
  <dcterms:created xsi:type="dcterms:W3CDTF">2024-09-03T14:17:04Z</dcterms:created>
  <dcterms:modified xsi:type="dcterms:W3CDTF">2024-11-05T17:10:31Z</dcterms:modified>
</cp:coreProperties>
</file>